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40" windowWidth="19440" windowHeight="12165"/>
  </bookViews>
  <sheets>
    <sheet name="прогноз СЭР" sheetId="1" r:id="rId1"/>
  </sheets>
  <definedNames>
    <definedName name="_xlnm.Print_Area" localSheetId="0">'прогноз СЭР'!$A$1:$V$113</definedName>
  </definedNames>
  <calcPr calcId="124519"/>
</workbook>
</file>

<file path=xl/calcChain.xml><?xml version="1.0" encoding="utf-8"?>
<calcChain xmlns="http://schemas.openxmlformats.org/spreadsheetml/2006/main">
  <c r="F106" i="1"/>
  <c r="F110" s="1"/>
  <c r="F87"/>
  <c r="F52" l="1"/>
  <c r="H50"/>
  <c r="G50"/>
  <c r="F50"/>
  <c r="F48"/>
  <c r="U46" l="1"/>
  <c r="V46"/>
  <c r="T46"/>
  <c r="S46"/>
  <c r="R46"/>
  <c r="Q46"/>
  <c r="P46"/>
  <c r="O46"/>
  <c r="M46"/>
  <c r="N46"/>
  <c r="L46"/>
  <c r="K46"/>
  <c r="J46"/>
  <c r="I46"/>
  <c r="H46"/>
  <c r="G46"/>
  <c r="H44"/>
  <c r="F42"/>
  <c r="F40"/>
  <c r="F38"/>
  <c r="F36"/>
  <c r="F34"/>
  <c r="V32"/>
  <c r="U32"/>
  <c r="T32"/>
  <c r="S32"/>
  <c r="R32"/>
  <c r="Q32"/>
  <c r="P32"/>
  <c r="O32"/>
  <c r="N32"/>
  <c r="M32"/>
  <c r="L32"/>
  <c r="K32"/>
  <c r="J32"/>
  <c r="I32"/>
  <c r="H32"/>
  <c r="G32"/>
  <c r="G29"/>
  <c r="G26"/>
  <c r="G23"/>
  <c r="G21"/>
  <c r="G19"/>
  <c r="G16"/>
  <c r="G11"/>
  <c r="F32"/>
  <c r="V29"/>
  <c r="U29"/>
  <c r="T29"/>
  <c r="S29"/>
  <c r="R29"/>
  <c r="Q29"/>
  <c r="P29"/>
  <c r="O29"/>
  <c r="N29"/>
  <c r="M29"/>
  <c r="L29"/>
  <c r="K29"/>
  <c r="J29"/>
  <c r="I29"/>
  <c r="H29"/>
  <c r="M26" l="1"/>
  <c r="V26"/>
  <c r="U26"/>
  <c r="T26"/>
  <c r="S26"/>
  <c r="R26"/>
  <c r="Q26"/>
  <c r="P26"/>
  <c r="O26"/>
  <c r="N26"/>
  <c r="L26"/>
  <c r="K26"/>
  <c r="J26"/>
  <c r="I26"/>
  <c r="H26"/>
  <c r="F26"/>
  <c r="F23"/>
  <c r="F21"/>
  <c r="U23"/>
  <c r="V23"/>
  <c r="T23"/>
  <c r="S23"/>
  <c r="R23"/>
  <c r="Q23"/>
  <c r="P23"/>
  <c r="O23"/>
  <c r="N23"/>
  <c r="M23"/>
  <c r="V21"/>
  <c r="T21"/>
  <c r="R21"/>
  <c r="P21"/>
  <c r="N21"/>
  <c r="L21"/>
  <c r="K21"/>
  <c r="M21" s="1"/>
  <c r="O21" s="1"/>
  <c r="Q21" s="1"/>
  <c r="S21" s="1"/>
  <c r="U21" s="1"/>
  <c r="J21"/>
  <c r="I23"/>
  <c r="K23" s="1"/>
  <c r="L23"/>
  <c r="J23"/>
  <c r="H23"/>
  <c r="I21"/>
  <c r="H21"/>
  <c r="V11"/>
  <c r="T11"/>
  <c r="R11"/>
  <c r="P11"/>
  <c r="U11"/>
  <c r="S11"/>
  <c r="Q11"/>
  <c r="M11"/>
  <c r="K11"/>
  <c r="O11"/>
  <c r="V19"/>
  <c r="T19"/>
  <c r="R19"/>
  <c r="P19"/>
  <c r="U19"/>
  <c r="S19"/>
  <c r="Q19"/>
  <c r="O19"/>
  <c r="N19"/>
  <c r="M19"/>
  <c r="L19"/>
  <c r="K19"/>
  <c r="J19"/>
  <c r="I19"/>
  <c r="H19"/>
  <c r="F19"/>
  <c r="V13"/>
  <c r="U13"/>
  <c r="T13"/>
  <c r="S13"/>
  <c r="R13"/>
  <c r="Q13"/>
  <c r="P13"/>
  <c r="O13"/>
  <c r="N13"/>
  <c r="M13"/>
  <c r="L13"/>
  <c r="K13"/>
  <c r="J13"/>
  <c r="I13"/>
  <c r="N11"/>
  <c r="L11"/>
  <c r="J11"/>
  <c r="I11"/>
  <c r="H11"/>
  <c r="F13"/>
  <c r="F16"/>
  <c r="E23"/>
  <c r="E21"/>
  <c r="E19"/>
  <c r="E16"/>
  <c r="G56"/>
  <c r="I56" s="1"/>
  <c r="H56"/>
  <c r="H54"/>
  <c r="G54"/>
  <c r="I54" s="1"/>
  <c r="H52"/>
  <c r="J52" s="1"/>
  <c r="L52" s="1"/>
  <c r="N52" s="1"/>
  <c r="P52" s="1"/>
  <c r="R52" s="1"/>
  <c r="T52" s="1"/>
  <c r="V52" s="1"/>
  <c r="G52"/>
  <c r="I52" s="1"/>
  <c r="K52" s="1"/>
  <c r="M52" s="1"/>
  <c r="O52" s="1"/>
  <c r="Q52" s="1"/>
  <c r="S52" s="1"/>
  <c r="U52" s="1"/>
  <c r="J50"/>
  <c r="L50" s="1"/>
  <c r="N50" s="1"/>
  <c r="P50" s="1"/>
  <c r="R50" s="1"/>
  <c r="T50" s="1"/>
  <c r="V50" s="1"/>
  <c r="I50"/>
  <c r="K50" s="1"/>
  <c r="M50" s="1"/>
  <c r="O50" s="1"/>
  <c r="Q50" s="1"/>
  <c r="S50" s="1"/>
  <c r="U50" s="1"/>
  <c r="E50"/>
  <c r="G44"/>
  <c r="I44"/>
  <c r="K44" s="1"/>
  <c r="M44" s="1"/>
  <c r="O44" s="1"/>
  <c r="Q44" s="1"/>
  <c r="S44" s="1"/>
  <c r="U44" s="1"/>
  <c r="H42"/>
  <c r="J42" s="1"/>
  <c r="L42" s="1"/>
  <c r="N42" s="1"/>
  <c r="P42" s="1"/>
  <c r="R42" s="1"/>
  <c r="T42" s="1"/>
  <c r="V42" s="1"/>
  <c r="G42"/>
  <c r="I42" s="1"/>
  <c r="K42" s="1"/>
  <c r="M42" s="1"/>
  <c r="O42" s="1"/>
  <c r="Q42" s="1"/>
  <c r="S42" s="1"/>
  <c r="U42" s="1"/>
  <c r="H40"/>
  <c r="J40" s="1"/>
  <c r="L40" s="1"/>
  <c r="N40" s="1"/>
  <c r="P40" s="1"/>
  <c r="R40" s="1"/>
  <c r="T40" s="1"/>
  <c r="V40" s="1"/>
  <c r="G40"/>
  <c r="I40" s="1"/>
  <c r="K40" s="1"/>
  <c r="M40" s="1"/>
  <c r="O40" s="1"/>
  <c r="Q40" s="1"/>
  <c r="S40" s="1"/>
  <c r="U40" s="1"/>
  <c r="H38"/>
  <c r="J38" s="1"/>
  <c r="L38" s="1"/>
  <c r="N38" s="1"/>
  <c r="P38" s="1"/>
  <c r="R38" s="1"/>
  <c r="T38" s="1"/>
  <c r="V38" s="1"/>
  <c r="G38"/>
  <c r="I38" s="1"/>
  <c r="K38" s="1"/>
  <c r="M38" s="1"/>
  <c r="O38" s="1"/>
  <c r="Q38" s="1"/>
  <c r="S38" s="1"/>
  <c r="U38" s="1"/>
  <c r="H34"/>
  <c r="G34"/>
  <c r="I34" s="1"/>
  <c r="H36"/>
  <c r="J36" s="1"/>
  <c r="L36" s="1"/>
  <c r="N36" s="1"/>
  <c r="P36" s="1"/>
  <c r="R36" s="1"/>
  <c r="T36" s="1"/>
  <c r="V36" s="1"/>
  <c r="G36"/>
  <c r="I36" s="1"/>
  <c r="K36" s="1"/>
  <c r="M36" s="1"/>
  <c r="O36" s="1"/>
  <c r="Q36" s="1"/>
  <c r="S36" s="1"/>
  <c r="U36" s="1"/>
  <c r="H16"/>
  <c r="J16" s="1"/>
  <c r="L16" s="1"/>
  <c r="N16" s="1"/>
  <c r="P16" s="1"/>
  <c r="R16" s="1"/>
  <c r="T16" s="1"/>
  <c r="V16" s="1"/>
  <c r="I16"/>
  <c r="K16" s="1"/>
  <c r="M16" s="1"/>
  <c r="O16" s="1"/>
  <c r="Q16" s="1"/>
  <c r="S16" s="1"/>
  <c r="U16" s="1"/>
  <c r="G112"/>
  <c r="H112" s="1"/>
  <c r="G111"/>
  <c r="H111" s="1"/>
  <c r="E110"/>
  <c r="G110" s="1"/>
  <c r="H110" s="1"/>
  <c r="H109"/>
  <c r="G109"/>
  <c r="G106"/>
  <c r="H106" s="1"/>
  <c r="G89"/>
  <c r="H89" s="1"/>
  <c r="H103"/>
  <c r="H101"/>
  <c r="H99"/>
  <c r="H97"/>
  <c r="H95"/>
  <c r="H93"/>
  <c r="H91"/>
  <c r="G113"/>
  <c r="H113" s="1"/>
  <c r="H105"/>
  <c r="H87"/>
  <c r="D110"/>
  <c r="K113"/>
  <c r="I113"/>
  <c r="M12" l="1"/>
  <c r="J54"/>
  <c r="K54"/>
  <c r="L54"/>
  <c r="K56"/>
  <c r="L56"/>
  <c r="J56"/>
  <c r="J44"/>
  <c r="L44" s="1"/>
  <c r="N44" s="1"/>
  <c r="P44" s="1"/>
  <c r="R44" s="1"/>
  <c r="T44" s="1"/>
  <c r="V44" s="1"/>
  <c r="L34"/>
  <c r="K34"/>
  <c r="J34"/>
  <c r="M105"/>
  <c r="L105"/>
  <c r="L113" s="1"/>
  <c r="J105"/>
  <c r="J113" s="1"/>
  <c r="E87"/>
  <c r="M112"/>
  <c r="O112" s="1"/>
  <c r="L112"/>
  <c r="J112"/>
  <c r="M111"/>
  <c r="O111" s="1"/>
  <c r="L111"/>
  <c r="J111"/>
  <c r="K110"/>
  <c r="L110" s="1"/>
  <c r="I110"/>
  <c r="J110" s="1"/>
  <c r="M109"/>
  <c r="N109" s="1"/>
  <c r="L109"/>
  <c r="J109"/>
  <c r="M106"/>
  <c r="N106" s="1"/>
  <c r="L106"/>
  <c r="J106"/>
  <c r="M101"/>
  <c r="N101" s="1"/>
  <c r="L101"/>
  <c r="J101"/>
  <c r="M99"/>
  <c r="N99" s="1"/>
  <c r="L99"/>
  <c r="J99"/>
  <c r="M95"/>
  <c r="N95" s="1"/>
  <c r="L95"/>
  <c r="J95"/>
  <c r="M93"/>
  <c r="N93" s="1"/>
  <c r="L93"/>
  <c r="J93"/>
  <c r="M91"/>
  <c r="O91" s="1"/>
  <c r="L91"/>
  <c r="J91"/>
  <c r="M89"/>
  <c r="O89" s="1"/>
  <c r="L89"/>
  <c r="J89"/>
  <c r="J90" s="1"/>
  <c r="I90"/>
  <c r="M54" l="1"/>
  <c r="N54"/>
  <c r="M56"/>
  <c r="N56"/>
  <c r="N111"/>
  <c r="N112"/>
  <c r="M34"/>
  <c r="N34"/>
  <c r="M110"/>
  <c r="N110" s="1"/>
  <c r="N105"/>
  <c r="N113" s="1"/>
  <c r="M113"/>
  <c r="O105"/>
  <c r="O113" s="1"/>
  <c r="P111"/>
  <c r="Q111"/>
  <c r="P112"/>
  <c r="Q112"/>
  <c r="O109"/>
  <c r="O106"/>
  <c r="O101"/>
  <c r="O99"/>
  <c r="O95"/>
  <c r="O93"/>
  <c r="Q91"/>
  <c r="P91"/>
  <c r="N91"/>
  <c r="P89"/>
  <c r="Q89"/>
  <c r="N89"/>
  <c r="O54" l="1"/>
  <c r="P54"/>
  <c r="O56"/>
  <c r="P56"/>
  <c r="P34"/>
  <c r="O34"/>
  <c r="P105"/>
  <c r="P113" s="1"/>
  <c r="Q105"/>
  <c r="Q113" s="1"/>
  <c r="O110"/>
  <c r="P110" s="1"/>
  <c r="Q109"/>
  <c r="P109"/>
  <c r="S111"/>
  <c r="R111"/>
  <c r="S112"/>
  <c r="R112"/>
  <c r="P106"/>
  <c r="Q106"/>
  <c r="P101"/>
  <c r="Q101"/>
  <c r="P99"/>
  <c r="Q99"/>
  <c r="P95"/>
  <c r="Q95"/>
  <c r="P93"/>
  <c r="Q93"/>
  <c r="S91"/>
  <c r="R91"/>
  <c r="S89"/>
  <c r="R89"/>
  <c r="Q54" l="1"/>
  <c r="R54"/>
  <c r="Q56"/>
  <c r="R56"/>
  <c r="Q34"/>
  <c r="R34"/>
  <c r="R105"/>
  <c r="R113" s="1"/>
  <c r="S105"/>
  <c r="S113" s="1"/>
  <c r="T112"/>
  <c r="U112"/>
  <c r="V112" s="1"/>
  <c r="R109"/>
  <c r="Q110"/>
  <c r="R110" s="1"/>
  <c r="S109"/>
  <c r="T111"/>
  <c r="U111"/>
  <c r="V111" s="1"/>
  <c r="R106"/>
  <c r="S106"/>
  <c r="R101"/>
  <c r="S101"/>
  <c r="R99"/>
  <c r="S99"/>
  <c r="R95"/>
  <c r="S95"/>
  <c r="R93"/>
  <c r="S93"/>
  <c r="T91"/>
  <c r="U91"/>
  <c r="V91" s="1"/>
  <c r="T89"/>
  <c r="U89"/>
  <c r="V89" s="1"/>
  <c r="S54" l="1"/>
  <c r="T54"/>
  <c r="S56"/>
  <c r="T56"/>
  <c r="T34"/>
  <c r="S34"/>
  <c r="T105"/>
  <c r="T113" s="1"/>
  <c r="U105"/>
  <c r="S110"/>
  <c r="T110" s="1"/>
  <c r="U109"/>
  <c r="T109"/>
  <c r="T106"/>
  <c r="U106"/>
  <c r="V106" s="1"/>
  <c r="T101"/>
  <c r="U101"/>
  <c r="V101" s="1"/>
  <c r="T99"/>
  <c r="U99"/>
  <c r="V99" s="1"/>
  <c r="T95"/>
  <c r="U95"/>
  <c r="V95" s="1"/>
  <c r="T93"/>
  <c r="U93"/>
  <c r="V93" s="1"/>
  <c r="U54" l="1"/>
  <c r="V54"/>
  <c r="U56"/>
  <c r="V56"/>
  <c r="U34"/>
  <c r="V34"/>
  <c r="V105"/>
  <c r="V113" s="1"/>
  <c r="U113"/>
  <c r="V109"/>
  <c r="U110"/>
  <c r="V110" s="1"/>
  <c r="L80" l="1"/>
  <c r="Q78"/>
  <c r="U82"/>
  <c r="V82"/>
  <c r="T82"/>
  <c r="S82"/>
  <c r="R82"/>
  <c r="Q82"/>
  <c r="P82"/>
  <c r="O82"/>
  <c r="N82"/>
  <c r="M82"/>
  <c r="L82"/>
  <c r="K82"/>
  <c r="J82"/>
  <c r="I82"/>
  <c r="V80"/>
  <c r="U80"/>
  <c r="T80"/>
  <c r="S80"/>
  <c r="R80"/>
  <c r="Q80"/>
  <c r="P80"/>
  <c r="O80"/>
  <c r="N80"/>
  <c r="M80"/>
  <c r="K80"/>
  <c r="J80"/>
  <c r="I80"/>
  <c r="V78"/>
  <c r="U78"/>
  <c r="T78"/>
  <c r="S78"/>
  <c r="R78"/>
  <c r="P78"/>
  <c r="O78"/>
  <c r="N78"/>
  <c r="M78"/>
  <c r="L78"/>
  <c r="K78"/>
  <c r="J78"/>
  <c r="I78"/>
  <c r="V76"/>
  <c r="U76"/>
  <c r="T76"/>
  <c r="S76"/>
  <c r="R76"/>
  <c r="Q76"/>
  <c r="P76"/>
  <c r="O76"/>
  <c r="N76"/>
  <c r="M76"/>
  <c r="L76"/>
  <c r="K76"/>
  <c r="J76"/>
  <c r="I76"/>
  <c r="V74"/>
  <c r="U74"/>
  <c r="T74"/>
  <c r="S74"/>
  <c r="R74"/>
  <c r="Q74"/>
  <c r="P74"/>
  <c r="O74"/>
  <c r="N74"/>
  <c r="M74"/>
  <c r="L74"/>
  <c r="K74"/>
  <c r="J74"/>
  <c r="I74"/>
  <c r="V107" l="1"/>
  <c r="U107"/>
  <c r="T107"/>
  <c r="S107"/>
  <c r="R107"/>
  <c r="Q107"/>
  <c r="P107"/>
  <c r="O107"/>
  <c r="N107"/>
  <c r="M107"/>
  <c r="L107"/>
  <c r="K107"/>
  <c r="J107"/>
  <c r="I107"/>
  <c r="V102"/>
  <c r="U102"/>
  <c r="T102"/>
  <c r="S102"/>
  <c r="R102"/>
  <c r="Q102"/>
  <c r="P102"/>
  <c r="O102"/>
  <c r="N102"/>
  <c r="M102"/>
  <c r="L102"/>
  <c r="K102"/>
  <c r="J102"/>
  <c r="I102"/>
  <c r="V100"/>
  <c r="U100"/>
  <c r="T100"/>
  <c r="S100"/>
  <c r="R100"/>
  <c r="Q100"/>
  <c r="P100"/>
  <c r="O100"/>
  <c r="N100"/>
  <c r="M100"/>
  <c r="L100"/>
  <c r="K100"/>
  <c r="J100"/>
  <c r="I100"/>
  <c r="V96"/>
  <c r="U96"/>
  <c r="T96"/>
  <c r="S96"/>
  <c r="R96"/>
  <c r="Q96"/>
  <c r="P96"/>
  <c r="O96"/>
  <c r="N96"/>
  <c r="M96"/>
  <c r="L96"/>
  <c r="K96"/>
  <c r="J96"/>
  <c r="I96"/>
  <c r="V94"/>
  <c r="U94"/>
  <c r="T94"/>
  <c r="S94"/>
  <c r="R94"/>
  <c r="Q94"/>
  <c r="P94"/>
  <c r="O94"/>
  <c r="N94"/>
  <c r="M94"/>
  <c r="L94"/>
  <c r="K94"/>
  <c r="J94"/>
  <c r="I94"/>
  <c r="V92"/>
  <c r="U92"/>
  <c r="T92"/>
  <c r="S92"/>
  <c r="R92"/>
  <c r="Q92"/>
  <c r="P92"/>
  <c r="O92"/>
  <c r="N92"/>
  <c r="M92"/>
  <c r="L92"/>
  <c r="K92"/>
  <c r="J92"/>
  <c r="I92"/>
  <c r="V90"/>
  <c r="U90"/>
  <c r="T90"/>
  <c r="S90"/>
  <c r="R90"/>
  <c r="Q90"/>
  <c r="P90"/>
  <c r="O90"/>
  <c r="N90"/>
  <c r="M90"/>
  <c r="L90"/>
  <c r="K90"/>
  <c r="V85"/>
  <c r="U85"/>
  <c r="T85"/>
  <c r="S85"/>
  <c r="R85"/>
  <c r="Q85"/>
  <c r="P85"/>
  <c r="O85"/>
  <c r="N85"/>
  <c r="M85"/>
  <c r="L85"/>
  <c r="K85"/>
  <c r="J85"/>
  <c r="I85"/>
  <c r="V71"/>
  <c r="U71"/>
  <c r="T71"/>
  <c r="S71"/>
  <c r="R71"/>
  <c r="Q71"/>
  <c r="P71"/>
  <c r="O71"/>
  <c r="N71"/>
  <c r="M71"/>
  <c r="L71"/>
  <c r="K71"/>
  <c r="J71"/>
  <c r="I71"/>
  <c r="V69"/>
  <c r="U69"/>
  <c r="T69"/>
  <c r="S69"/>
  <c r="R69"/>
  <c r="Q69"/>
  <c r="P69"/>
  <c r="O69"/>
  <c r="N69"/>
  <c r="M69"/>
  <c r="L69"/>
  <c r="K69"/>
  <c r="J69"/>
  <c r="I69"/>
  <c r="V67"/>
  <c r="U67"/>
  <c r="T67"/>
  <c r="S67"/>
  <c r="R67"/>
  <c r="Q67"/>
  <c r="P67"/>
  <c r="O67"/>
  <c r="N67"/>
  <c r="M67"/>
  <c r="L67"/>
  <c r="K67"/>
  <c r="J67"/>
  <c r="I67"/>
  <c r="V65"/>
  <c r="U65"/>
  <c r="T65"/>
  <c r="S65"/>
  <c r="R65"/>
  <c r="Q65"/>
  <c r="P65"/>
  <c r="O65"/>
  <c r="N65"/>
  <c r="M65"/>
  <c r="L65"/>
  <c r="K65"/>
  <c r="J65"/>
  <c r="I65"/>
  <c r="V63"/>
  <c r="U63"/>
  <c r="T63"/>
  <c r="S63"/>
  <c r="R63"/>
  <c r="Q63"/>
  <c r="P63"/>
  <c r="O63"/>
  <c r="N63"/>
  <c r="M63"/>
  <c r="L63"/>
  <c r="K63"/>
  <c r="J63"/>
  <c r="I63"/>
  <c r="V61"/>
  <c r="U61"/>
  <c r="T61"/>
  <c r="S61"/>
  <c r="R61"/>
  <c r="Q61"/>
  <c r="P61"/>
  <c r="O61"/>
  <c r="N61"/>
  <c r="M61"/>
  <c r="L61"/>
  <c r="K61"/>
  <c r="J61"/>
  <c r="I61"/>
  <c r="V57"/>
  <c r="U57"/>
  <c r="T57"/>
  <c r="S57"/>
  <c r="R57"/>
  <c r="Q57"/>
  <c r="P57"/>
  <c r="O57"/>
  <c r="N57"/>
  <c r="M57"/>
  <c r="L57"/>
  <c r="K57"/>
  <c r="J57"/>
  <c r="I57"/>
  <c r="V55"/>
  <c r="U55"/>
  <c r="T55"/>
  <c r="S55"/>
  <c r="R55"/>
  <c r="Q55"/>
  <c r="P55"/>
  <c r="O55"/>
  <c r="N55"/>
  <c r="M55"/>
  <c r="L55"/>
  <c r="K55"/>
  <c r="J55"/>
  <c r="I55"/>
  <c r="V53"/>
  <c r="U53"/>
  <c r="T53"/>
  <c r="S53"/>
  <c r="R53"/>
  <c r="Q53"/>
  <c r="P53"/>
  <c r="O53"/>
  <c r="N53"/>
  <c r="M53"/>
  <c r="L53"/>
  <c r="K53"/>
  <c r="J53"/>
  <c r="I53"/>
  <c r="V51"/>
  <c r="U51"/>
  <c r="T51"/>
  <c r="S51"/>
  <c r="R51"/>
  <c r="Q51"/>
  <c r="P51"/>
  <c r="O51"/>
  <c r="N51"/>
  <c r="M51"/>
  <c r="L51"/>
  <c r="K51"/>
  <c r="J51"/>
  <c r="I51"/>
  <c r="V49"/>
  <c r="U49"/>
  <c r="T49"/>
  <c r="S49"/>
  <c r="R49"/>
  <c r="Q49"/>
  <c r="P49"/>
  <c r="O49"/>
  <c r="N49"/>
  <c r="M49"/>
  <c r="L49"/>
  <c r="K49"/>
  <c r="J49"/>
  <c r="I49"/>
  <c r="V47"/>
  <c r="U47"/>
  <c r="T47"/>
  <c r="S47"/>
  <c r="R47"/>
  <c r="Q47"/>
  <c r="P47"/>
  <c r="O47"/>
  <c r="N47"/>
  <c r="M47"/>
  <c r="L47"/>
  <c r="K47"/>
  <c r="J47"/>
  <c r="I47"/>
  <c r="V45"/>
  <c r="U45"/>
  <c r="T45"/>
  <c r="S45"/>
  <c r="R45"/>
  <c r="Q45"/>
  <c r="P45"/>
  <c r="O45"/>
  <c r="N45"/>
  <c r="M45"/>
  <c r="L45"/>
  <c r="K45"/>
  <c r="J45"/>
  <c r="I45"/>
  <c r="V43"/>
  <c r="U43"/>
  <c r="T43"/>
  <c r="S43"/>
  <c r="R43"/>
  <c r="Q43"/>
  <c r="P43"/>
  <c r="O43"/>
  <c r="N43"/>
  <c r="M43"/>
  <c r="L43"/>
  <c r="K43"/>
  <c r="J43"/>
  <c r="I43"/>
  <c r="V41"/>
  <c r="U41"/>
  <c r="T41"/>
  <c r="S41"/>
  <c r="R41"/>
  <c r="Q41"/>
  <c r="P41"/>
  <c r="O41"/>
  <c r="N41"/>
  <c r="M41"/>
  <c r="L41"/>
  <c r="K41"/>
  <c r="J41"/>
  <c r="I41"/>
  <c r="V39"/>
  <c r="U39"/>
  <c r="T39"/>
  <c r="S39"/>
  <c r="R39"/>
  <c r="Q39"/>
  <c r="P39"/>
  <c r="O39"/>
  <c r="N39"/>
  <c r="M39"/>
  <c r="L39"/>
  <c r="K39"/>
  <c r="J39"/>
  <c r="I39"/>
  <c r="V37"/>
  <c r="U37"/>
  <c r="T37"/>
  <c r="S37"/>
  <c r="R37"/>
  <c r="Q37"/>
  <c r="P37"/>
  <c r="O37"/>
  <c r="N37"/>
  <c r="M37"/>
  <c r="L37"/>
  <c r="K37"/>
  <c r="J37"/>
  <c r="I37"/>
  <c r="V35"/>
  <c r="U35"/>
  <c r="T35"/>
  <c r="S35"/>
  <c r="R35"/>
  <c r="Q35"/>
  <c r="P35"/>
  <c r="O35"/>
  <c r="N35"/>
  <c r="M35"/>
  <c r="L35"/>
  <c r="K35"/>
  <c r="J35"/>
  <c r="I35"/>
  <c r="V33"/>
  <c r="U33"/>
  <c r="T33"/>
  <c r="S33"/>
  <c r="R33"/>
  <c r="Q33"/>
  <c r="P33"/>
  <c r="O33"/>
  <c r="N33"/>
  <c r="M33"/>
  <c r="L33"/>
  <c r="K33"/>
  <c r="J33"/>
  <c r="I33"/>
  <c r="V30"/>
  <c r="U30"/>
  <c r="T30"/>
  <c r="S30"/>
  <c r="R30"/>
  <c r="Q30"/>
  <c r="P30"/>
  <c r="O30"/>
  <c r="N30"/>
  <c r="M30"/>
  <c r="L30"/>
  <c r="K30"/>
  <c r="J30"/>
  <c r="I30"/>
  <c r="V27"/>
  <c r="U27"/>
  <c r="T27"/>
  <c r="S27"/>
  <c r="R27"/>
  <c r="Q27"/>
  <c r="P27"/>
  <c r="O27"/>
  <c r="N27"/>
  <c r="M27"/>
  <c r="L27"/>
  <c r="K27"/>
  <c r="J27"/>
  <c r="I27"/>
  <c r="V24"/>
  <c r="U24"/>
  <c r="T24"/>
  <c r="S24"/>
  <c r="R24"/>
  <c r="Q24"/>
  <c r="P24"/>
  <c r="O24"/>
  <c r="N24"/>
  <c r="M24"/>
  <c r="L24"/>
  <c r="K24"/>
  <c r="J24"/>
  <c r="I24"/>
  <c r="V22"/>
  <c r="U22"/>
  <c r="T22"/>
  <c r="S22"/>
  <c r="R22"/>
  <c r="Q22"/>
  <c r="P22"/>
  <c r="O22"/>
  <c r="N22"/>
  <c r="M22"/>
  <c r="L22"/>
  <c r="K22"/>
  <c r="J22"/>
  <c r="I22"/>
  <c r="V20"/>
  <c r="U20"/>
  <c r="T20"/>
  <c r="S20"/>
  <c r="R20"/>
  <c r="Q20"/>
  <c r="P20"/>
  <c r="O20"/>
  <c r="N20"/>
  <c r="M20"/>
  <c r="L20"/>
  <c r="K20"/>
  <c r="J20"/>
  <c r="I20"/>
  <c r="V17"/>
  <c r="U17"/>
  <c r="T17"/>
  <c r="S17"/>
  <c r="R17"/>
  <c r="Q17"/>
  <c r="P17"/>
  <c r="O17"/>
  <c r="N17"/>
  <c r="M17"/>
  <c r="L17"/>
  <c r="K17"/>
  <c r="J17"/>
  <c r="I17"/>
  <c r="V14"/>
  <c r="U14"/>
  <c r="T14"/>
  <c r="S14"/>
  <c r="R14"/>
  <c r="Q14"/>
  <c r="P14"/>
  <c r="O14"/>
  <c r="N14"/>
  <c r="M14"/>
  <c r="L14"/>
  <c r="K14"/>
  <c r="J14"/>
  <c r="I14"/>
  <c r="V12"/>
  <c r="U12"/>
  <c r="T12"/>
  <c r="S12"/>
  <c r="R12"/>
  <c r="Q12"/>
  <c r="P12"/>
  <c r="O12"/>
  <c r="N12"/>
  <c r="L12"/>
  <c r="K12"/>
  <c r="J12"/>
  <c r="I12"/>
</calcChain>
</file>

<file path=xl/comments1.xml><?xml version="1.0" encoding="utf-8"?>
<comments xmlns="http://schemas.openxmlformats.org/spreadsheetml/2006/main">
  <authors>
    <author>BigunovaTV</author>
  </authors>
  <commentList>
    <comment ref="E46" authorId="0">
      <text>
        <r>
          <rPr>
            <b/>
            <sz val="9"/>
            <color indexed="81"/>
            <rFont val="Tahoma"/>
            <family val="2"/>
            <charset val="204"/>
          </rPr>
          <t>BigunovaTV:</t>
        </r>
        <r>
          <rPr>
            <sz val="9"/>
            <color indexed="81"/>
            <rFont val="Tahoma"/>
            <family val="2"/>
            <charset val="204"/>
          </rPr>
          <t xml:space="preserve">
статистика данные не предоставляет</t>
        </r>
      </text>
    </comment>
  </commentList>
</comments>
</file>

<file path=xl/sharedStrings.xml><?xml version="1.0" encoding="utf-8"?>
<sst xmlns="http://schemas.openxmlformats.org/spreadsheetml/2006/main" count="148" uniqueCount="87">
  <si>
    <t>№ п/п</t>
  </si>
  <si>
    <t>Показатели</t>
  </si>
  <si>
    <t>Демография</t>
  </si>
  <si>
    <t>Среднегодовая численность населения, тыс.человек</t>
  </si>
  <si>
    <t>темп роста, %</t>
  </si>
  <si>
    <t>Численность официально зарегистрированных   безработных,чел.</t>
  </si>
  <si>
    <t xml:space="preserve"> Количество зарегистрированных организаций всего, единиц</t>
  </si>
  <si>
    <t>в том числе муниципальной формы собственности</t>
  </si>
  <si>
    <t>количество муниципальных унитарных предприятий</t>
  </si>
  <si>
    <t xml:space="preserve">Оборот крупных и средних организаций, млн. рублей </t>
  </si>
  <si>
    <t>Среднесписочная численность работников, человек</t>
  </si>
  <si>
    <t>Развитие социальной сферы</t>
  </si>
  <si>
    <t xml:space="preserve"> Образование</t>
  </si>
  <si>
    <t>Количество дошкольных образовательных учреждений, единиц</t>
  </si>
  <si>
    <t>Численность детей в дошкольных образовательных учреждениях, чел</t>
  </si>
  <si>
    <t>Количество мест в дошкольных образовательных учреждениях, единиц</t>
  </si>
  <si>
    <t>Количество образовательных учреждений, единиц</t>
  </si>
  <si>
    <t>Численность учащихся в образовательных учреждениях, человек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</si>
  <si>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</si>
  <si>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Здравоохранение</t>
  </si>
  <si>
    <t>Количество учреждений всего, единиц</t>
  </si>
  <si>
    <t>Число коек</t>
  </si>
  <si>
    <t>Обеспеченность больничными койками, коек на 10 тыс. жителей</t>
  </si>
  <si>
    <t xml:space="preserve">Численность врачей, чел. </t>
  </si>
  <si>
    <t xml:space="preserve">Численность среднего медецинского персонала, чел. </t>
  </si>
  <si>
    <t>Культура</t>
  </si>
  <si>
    <t>Число учреждений культурно-досугового типа, единиц</t>
  </si>
  <si>
    <t>Доходы – всего,</t>
  </si>
  <si>
    <t>в том числе:</t>
  </si>
  <si>
    <t>собственные доходы</t>
  </si>
  <si>
    <t>безвозмездные перечисления, в том числе:</t>
  </si>
  <si>
    <t>дотации</t>
  </si>
  <si>
    <t>субвенции</t>
  </si>
  <si>
    <t>средства по взаимным расчетам</t>
  </si>
  <si>
    <t>субсидии</t>
  </si>
  <si>
    <t>прочие безвозмездные перечисления</t>
  </si>
  <si>
    <t>бюджетные ссуды</t>
  </si>
  <si>
    <t>Расходы – всего:</t>
  </si>
  <si>
    <t>расходы на выплату заработной платы работникам бюджетной сферы – всего,</t>
  </si>
  <si>
    <t>расходы на выплату заработной платы работникам бюджетной сферы за счет собственных доходов</t>
  </si>
  <si>
    <t>расходы на выплату заработной платы работникам бюджетной сферы за счет финансовой помощи из областного бюджета</t>
  </si>
  <si>
    <t>расходы на начисления по заработной плате работников бюджетной сферы</t>
  </si>
  <si>
    <t>Расходы по проезду в отпуск</t>
  </si>
  <si>
    <t>Дефицит(-), профицит(+)</t>
  </si>
  <si>
    <t>Прогноз</t>
  </si>
  <si>
    <t>консервативный</t>
  </si>
  <si>
    <t>базовый</t>
  </si>
  <si>
    <t>Производство товаров и услуг</t>
  </si>
  <si>
    <t>Строительство</t>
  </si>
  <si>
    <t xml:space="preserve"> - Обеспечение электрической энергией, газом и паром; кондиционирование воздуха, млн. руб.
</t>
  </si>
  <si>
    <t xml:space="preserve"> - Обрабатывающие производства, млн. руб.</t>
  </si>
  <si>
    <t xml:space="preserve"> -Промышленное производство, млн. руб.</t>
  </si>
  <si>
    <t xml:space="preserve">Объем работ, выполненных по виду деятельности «Строительство» крупными и средними организациями, млн. руб.
</t>
  </si>
  <si>
    <t>Автомобильный транспорт</t>
  </si>
  <si>
    <t>Количество пассажиров, перевезенныхавтобусами по маршрутам регулярных перевозок, тыс. человек</t>
  </si>
  <si>
    <t>Рынок товаров и услуг</t>
  </si>
  <si>
    <t>Оборот розничной торговли крупных и средних организаций, млн. руб.</t>
  </si>
  <si>
    <t>Среднегодовая стоимость имущества бюджетных учреждений Ягоднинского городского округа, млн. руб.</t>
  </si>
  <si>
    <t>13.1.</t>
  </si>
  <si>
    <t>13.2.</t>
  </si>
  <si>
    <t>13.3.</t>
  </si>
  <si>
    <t>14.1.</t>
  </si>
  <si>
    <t>14.2.</t>
  </si>
  <si>
    <t>14.3.</t>
  </si>
  <si>
    <t>Финансы</t>
  </si>
  <si>
    <t>Оборот общественного питания крупных и средних организаций, млн. руб.</t>
  </si>
  <si>
    <t xml:space="preserve">Объем платных услуг, предоставленных населению крупными и средними организациями, млн. руб.
</t>
  </si>
  <si>
    <t>факт 2022 год</t>
  </si>
  <si>
    <t>Число индивидуальных предпринимателей, единиц</t>
  </si>
  <si>
    <t xml:space="preserve">Среднемесячная номинальная начисленная заработная плата, рублей </t>
  </si>
  <si>
    <t>факт 2021 год</t>
  </si>
  <si>
    <t>оценка за 6 месяцев 2023 года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</si>
  <si>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</si>
  <si>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</si>
  <si>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</si>
  <si>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</si>
  <si>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</si>
  <si>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</si>
  <si>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</si>
  <si>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</si>
  <si>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 xml:space="preserve"> Прогноз социально-экономического развития муниципального образования «Ягоднинский муниципальный округ Магаданской области» на 2024 год и на период до 2030 года</t>
  </si>
  <si>
    <t xml:space="preserve">Объем отгруженных товаров собственного производства, выполненных работ и услуг собственными силами крупных и средних организаций, млн. руб., в том числе:
</t>
  </si>
  <si>
    <t xml:space="preserve"> -</t>
  </si>
  <si>
    <t>Инвестиции в основной капитал за счет всех источников финансирования, млн. руб.</t>
  </si>
  <si>
    <t>Денежные доходы населения, тысяч рублей</t>
  </si>
  <si>
    <t xml:space="preserve">Объемы добычи полезных ископаемых, 
в т.ч. золото, тонн
</t>
  </si>
  <si>
    <t>оценка за 9 месяцев 2023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</si>
</sst>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.0"/>
    <numFmt numFmtId="167" formatCode="0.0%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1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2" fontId="3" fillId="2" borderId="0" xfId="0" applyNumberFormat="1" applyFont="1" applyFill="1" applyAlignment="1">
      <alignment horizontal="center" vertical="top"/>
    </xf>
    <xf numFmtId="164" fontId="3" fillId="0" borderId="1" xfId="1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2" fontId="9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tabSelected="1" view="pageBreakPreview" zoomScale="85" zoomScaleSheetLayoutView="85" workbookViewId="0">
      <pane ySplit="9" topLeftCell="A94" activePane="bottomLeft" state="frozen"/>
      <selection pane="bottomLeft" activeCell="A3" sqref="A3:V5"/>
    </sheetView>
  </sheetViews>
  <sheetFormatPr defaultRowHeight="15.75"/>
  <cols>
    <col min="1" max="1" width="9.28515625" style="9" customWidth="1"/>
    <col min="2" max="2" width="49.5703125" style="2" customWidth="1"/>
    <col min="3" max="3" width="13.7109375" style="10" hidden="1" customWidth="1"/>
    <col min="4" max="4" width="13.7109375" style="10" customWidth="1"/>
    <col min="5" max="6" width="17.5703125" style="10" customWidth="1"/>
    <col min="7" max="7" width="18.85546875" style="9" customWidth="1"/>
    <col min="8" max="8" width="13.28515625" style="9" customWidth="1"/>
    <col min="9" max="9" width="17" style="9" customWidth="1"/>
    <col min="10" max="10" width="14.5703125" style="9" customWidth="1"/>
    <col min="11" max="11" width="17.5703125" style="9" customWidth="1"/>
    <col min="12" max="12" width="13.5703125" style="9" customWidth="1"/>
    <col min="13" max="13" width="17.5703125" style="2" customWidth="1"/>
    <col min="14" max="14" width="14" style="2" customWidth="1"/>
    <col min="15" max="15" width="17" style="2" customWidth="1"/>
    <col min="16" max="16" width="14.7109375" style="2" customWidth="1"/>
    <col min="17" max="17" width="18.5703125" style="2" customWidth="1"/>
    <col min="18" max="18" width="15.85546875" style="2" customWidth="1"/>
    <col min="19" max="19" width="19.85546875" style="2" customWidth="1"/>
    <col min="20" max="20" width="12.140625" style="2" customWidth="1"/>
    <col min="21" max="21" width="18.28515625" style="2" customWidth="1"/>
    <col min="22" max="22" width="12.7109375" style="2" customWidth="1"/>
    <col min="23" max="244" width="9.140625" style="2"/>
    <col min="245" max="245" width="5" style="2" customWidth="1"/>
    <col min="246" max="246" width="54.85546875" style="2" customWidth="1"/>
    <col min="247" max="248" width="0" style="2" hidden="1" customWidth="1"/>
    <col min="249" max="249" width="8.28515625" style="2" customWidth="1"/>
    <col min="250" max="250" width="9.85546875" style="2" customWidth="1"/>
    <col min="251" max="252" width="0" style="2" hidden="1" customWidth="1"/>
    <col min="253" max="253" width="9.42578125" style="2" customWidth="1"/>
    <col min="254" max="254" width="10.140625" style="2" customWidth="1"/>
    <col min="255" max="255" width="9.7109375" style="2" customWidth="1"/>
    <col min="256" max="256" width="9.85546875" style="2" customWidth="1"/>
    <col min="257" max="257" width="9.42578125" style="2" customWidth="1"/>
    <col min="258" max="259" width="12" style="2" customWidth="1"/>
    <col min="260" max="500" width="9.140625" style="2"/>
    <col min="501" max="501" width="5" style="2" customWidth="1"/>
    <col min="502" max="502" width="54.85546875" style="2" customWidth="1"/>
    <col min="503" max="504" width="0" style="2" hidden="1" customWidth="1"/>
    <col min="505" max="505" width="8.28515625" style="2" customWidth="1"/>
    <col min="506" max="506" width="9.85546875" style="2" customWidth="1"/>
    <col min="507" max="508" width="0" style="2" hidden="1" customWidth="1"/>
    <col min="509" max="509" width="9.42578125" style="2" customWidth="1"/>
    <col min="510" max="510" width="10.140625" style="2" customWidth="1"/>
    <col min="511" max="511" width="9.7109375" style="2" customWidth="1"/>
    <col min="512" max="512" width="9.85546875" style="2" customWidth="1"/>
    <col min="513" max="513" width="9.42578125" style="2" customWidth="1"/>
    <col min="514" max="515" width="12" style="2" customWidth="1"/>
    <col min="516" max="756" width="9.140625" style="2"/>
    <col min="757" max="757" width="5" style="2" customWidth="1"/>
    <col min="758" max="758" width="54.85546875" style="2" customWidth="1"/>
    <col min="759" max="760" width="0" style="2" hidden="1" customWidth="1"/>
    <col min="761" max="761" width="8.28515625" style="2" customWidth="1"/>
    <col min="762" max="762" width="9.85546875" style="2" customWidth="1"/>
    <col min="763" max="764" width="0" style="2" hidden="1" customWidth="1"/>
    <col min="765" max="765" width="9.42578125" style="2" customWidth="1"/>
    <col min="766" max="766" width="10.140625" style="2" customWidth="1"/>
    <col min="767" max="767" width="9.7109375" style="2" customWidth="1"/>
    <col min="768" max="768" width="9.85546875" style="2" customWidth="1"/>
    <col min="769" max="769" width="9.42578125" style="2" customWidth="1"/>
    <col min="770" max="771" width="12" style="2" customWidth="1"/>
    <col min="772" max="1012" width="9.140625" style="2"/>
    <col min="1013" max="1013" width="5" style="2" customWidth="1"/>
    <col min="1014" max="1014" width="54.85546875" style="2" customWidth="1"/>
    <col min="1015" max="1016" width="0" style="2" hidden="1" customWidth="1"/>
    <col min="1017" max="1017" width="8.28515625" style="2" customWidth="1"/>
    <col min="1018" max="1018" width="9.85546875" style="2" customWidth="1"/>
    <col min="1019" max="1020" width="0" style="2" hidden="1" customWidth="1"/>
    <col min="1021" max="1021" width="9.42578125" style="2" customWidth="1"/>
    <col min="1022" max="1022" width="10.140625" style="2" customWidth="1"/>
    <col min="1023" max="1023" width="9.7109375" style="2" customWidth="1"/>
    <col min="1024" max="1024" width="9.85546875" style="2" customWidth="1"/>
    <col min="1025" max="1025" width="9.42578125" style="2" customWidth="1"/>
    <col min="1026" max="1027" width="12" style="2" customWidth="1"/>
    <col min="1028" max="1268" width="9.140625" style="2"/>
    <col min="1269" max="1269" width="5" style="2" customWidth="1"/>
    <col min="1270" max="1270" width="54.85546875" style="2" customWidth="1"/>
    <col min="1271" max="1272" width="0" style="2" hidden="1" customWidth="1"/>
    <col min="1273" max="1273" width="8.28515625" style="2" customWidth="1"/>
    <col min="1274" max="1274" width="9.85546875" style="2" customWidth="1"/>
    <col min="1275" max="1276" width="0" style="2" hidden="1" customWidth="1"/>
    <col min="1277" max="1277" width="9.42578125" style="2" customWidth="1"/>
    <col min="1278" max="1278" width="10.140625" style="2" customWidth="1"/>
    <col min="1279" max="1279" width="9.7109375" style="2" customWidth="1"/>
    <col min="1280" max="1280" width="9.85546875" style="2" customWidth="1"/>
    <col min="1281" max="1281" width="9.42578125" style="2" customWidth="1"/>
    <col min="1282" max="1283" width="12" style="2" customWidth="1"/>
    <col min="1284" max="1524" width="9.140625" style="2"/>
    <col min="1525" max="1525" width="5" style="2" customWidth="1"/>
    <col min="1526" max="1526" width="54.85546875" style="2" customWidth="1"/>
    <col min="1527" max="1528" width="0" style="2" hidden="1" customWidth="1"/>
    <col min="1529" max="1529" width="8.28515625" style="2" customWidth="1"/>
    <col min="1530" max="1530" width="9.85546875" style="2" customWidth="1"/>
    <col min="1531" max="1532" width="0" style="2" hidden="1" customWidth="1"/>
    <col min="1533" max="1533" width="9.42578125" style="2" customWidth="1"/>
    <col min="1534" max="1534" width="10.140625" style="2" customWidth="1"/>
    <col min="1535" max="1535" width="9.7109375" style="2" customWidth="1"/>
    <col min="1536" max="1536" width="9.85546875" style="2" customWidth="1"/>
    <col min="1537" max="1537" width="9.42578125" style="2" customWidth="1"/>
    <col min="1538" max="1539" width="12" style="2" customWidth="1"/>
    <col min="1540" max="1780" width="9.140625" style="2"/>
    <col min="1781" max="1781" width="5" style="2" customWidth="1"/>
    <col min="1782" max="1782" width="54.85546875" style="2" customWidth="1"/>
    <col min="1783" max="1784" width="0" style="2" hidden="1" customWidth="1"/>
    <col min="1785" max="1785" width="8.28515625" style="2" customWidth="1"/>
    <col min="1786" max="1786" width="9.85546875" style="2" customWidth="1"/>
    <col min="1787" max="1788" width="0" style="2" hidden="1" customWidth="1"/>
    <col min="1789" max="1789" width="9.42578125" style="2" customWidth="1"/>
    <col min="1790" max="1790" width="10.140625" style="2" customWidth="1"/>
    <col min="1791" max="1791" width="9.7109375" style="2" customWidth="1"/>
    <col min="1792" max="1792" width="9.85546875" style="2" customWidth="1"/>
    <col min="1793" max="1793" width="9.42578125" style="2" customWidth="1"/>
    <col min="1794" max="1795" width="12" style="2" customWidth="1"/>
    <col min="1796" max="2036" width="9.140625" style="2"/>
    <col min="2037" max="2037" width="5" style="2" customWidth="1"/>
    <col min="2038" max="2038" width="54.85546875" style="2" customWidth="1"/>
    <col min="2039" max="2040" width="0" style="2" hidden="1" customWidth="1"/>
    <col min="2041" max="2041" width="8.28515625" style="2" customWidth="1"/>
    <col min="2042" max="2042" width="9.85546875" style="2" customWidth="1"/>
    <col min="2043" max="2044" width="0" style="2" hidden="1" customWidth="1"/>
    <col min="2045" max="2045" width="9.42578125" style="2" customWidth="1"/>
    <col min="2046" max="2046" width="10.140625" style="2" customWidth="1"/>
    <col min="2047" max="2047" width="9.7109375" style="2" customWidth="1"/>
    <col min="2048" max="2048" width="9.85546875" style="2" customWidth="1"/>
    <col min="2049" max="2049" width="9.42578125" style="2" customWidth="1"/>
    <col min="2050" max="2051" width="12" style="2" customWidth="1"/>
    <col min="2052" max="2292" width="9.140625" style="2"/>
    <col min="2293" max="2293" width="5" style="2" customWidth="1"/>
    <col min="2294" max="2294" width="54.85546875" style="2" customWidth="1"/>
    <col min="2295" max="2296" width="0" style="2" hidden="1" customWidth="1"/>
    <col min="2297" max="2297" width="8.28515625" style="2" customWidth="1"/>
    <col min="2298" max="2298" width="9.85546875" style="2" customWidth="1"/>
    <col min="2299" max="2300" width="0" style="2" hidden="1" customWidth="1"/>
    <col min="2301" max="2301" width="9.42578125" style="2" customWidth="1"/>
    <col min="2302" max="2302" width="10.140625" style="2" customWidth="1"/>
    <col min="2303" max="2303" width="9.7109375" style="2" customWidth="1"/>
    <col min="2304" max="2304" width="9.85546875" style="2" customWidth="1"/>
    <col min="2305" max="2305" width="9.42578125" style="2" customWidth="1"/>
    <col min="2306" max="2307" width="12" style="2" customWidth="1"/>
    <col min="2308" max="2548" width="9.140625" style="2"/>
    <col min="2549" max="2549" width="5" style="2" customWidth="1"/>
    <col min="2550" max="2550" width="54.85546875" style="2" customWidth="1"/>
    <col min="2551" max="2552" width="0" style="2" hidden="1" customWidth="1"/>
    <col min="2553" max="2553" width="8.28515625" style="2" customWidth="1"/>
    <col min="2554" max="2554" width="9.85546875" style="2" customWidth="1"/>
    <col min="2555" max="2556" width="0" style="2" hidden="1" customWidth="1"/>
    <col min="2557" max="2557" width="9.42578125" style="2" customWidth="1"/>
    <col min="2558" max="2558" width="10.140625" style="2" customWidth="1"/>
    <col min="2559" max="2559" width="9.7109375" style="2" customWidth="1"/>
    <col min="2560" max="2560" width="9.85546875" style="2" customWidth="1"/>
    <col min="2561" max="2561" width="9.42578125" style="2" customWidth="1"/>
    <col min="2562" max="2563" width="12" style="2" customWidth="1"/>
    <col min="2564" max="2804" width="9.140625" style="2"/>
    <col min="2805" max="2805" width="5" style="2" customWidth="1"/>
    <col min="2806" max="2806" width="54.85546875" style="2" customWidth="1"/>
    <col min="2807" max="2808" width="0" style="2" hidden="1" customWidth="1"/>
    <col min="2809" max="2809" width="8.28515625" style="2" customWidth="1"/>
    <col min="2810" max="2810" width="9.85546875" style="2" customWidth="1"/>
    <col min="2811" max="2812" width="0" style="2" hidden="1" customWidth="1"/>
    <col min="2813" max="2813" width="9.42578125" style="2" customWidth="1"/>
    <col min="2814" max="2814" width="10.140625" style="2" customWidth="1"/>
    <col min="2815" max="2815" width="9.7109375" style="2" customWidth="1"/>
    <col min="2816" max="2816" width="9.85546875" style="2" customWidth="1"/>
    <col min="2817" max="2817" width="9.42578125" style="2" customWidth="1"/>
    <col min="2818" max="2819" width="12" style="2" customWidth="1"/>
    <col min="2820" max="3060" width="9.140625" style="2"/>
    <col min="3061" max="3061" width="5" style="2" customWidth="1"/>
    <col min="3062" max="3062" width="54.85546875" style="2" customWidth="1"/>
    <col min="3063" max="3064" width="0" style="2" hidden="1" customWidth="1"/>
    <col min="3065" max="3065" width="8.28515625" style="2" customWidth="1"/>
    <col min="3066" max="3066" width="9.85546875" style="2" customWidth="1"/>
    <col min="3067" max="3068" width="0" style="2" hidden="1" customWidth="1"/>
    <col min="3069" max="3069" width="9.42578125" style="2" customWidth="1"/>
    <col min="3070" max="3070" width="10.140625" style="2" customWidth="1"/>
    <col min="3071" max="3071" width="9.7109375" style="2" customWidth="1"/>
    <col min="3072" max="3072" width="9.85546875" style="2" customWidth="1"/>
    <col min="3073" max="3073" width="9.42578125" style="2" customWidth="1"/>
    <col min="3074" max="3075" width="12" style="2" customWidth="1"/>
    <col min="3076" max="3316" width="9.140625" style="2"/>
    <col min="3317" max="3317" width="5" style="2" customWidth="1"/>
    <col min="3318" max="3318" width="54.85546875" style="2" customWidth="1"/>
    <col min="3319" max="3320" width="0" style="2" hidden="1" customWidth="1"/>
    <col min="3321" max="3321" width="8.28515625" style="2" customWidth="1"/>
    <col min="3322" max="3322" width="9.85546875" style="2" customWidth="1"/>
    <col min="3323" max="3324" width="0" style="2" hidden="1" customWidth="1"/>
    <col min="3325" max="3325" width="9.42578125" style="2" customWidth="1"/>
    <col min="3326" max="3326" width="10.140625" style="2" customWidth="1"/>
    <col min="3327" max="3327" width="9.7109375" style="2" customWidth="1"/>
    <col min="3328" max="3328" width="9.85546875" style="2" customWidth="1"/>
    <col min="3329" max="3329" width="9.42578125" style="2" customWidth="1"/>
    <col min="3330" max="3331" width="12" style="2" customWidth="1"/>
    <col min="3332" max="3572" width="9.140625" style="2"/>
    <col min="3573" max="3573" width="5" style="2" customWidth="1"/>
    <col min="3574" max="3574" width="54.85546875" style="2" customWidth="1"/>
    <col min="3575" max="3576" width="0" style="2" hidden="1" customWidth="1"/>
    <col min="3577" max="3577" width="8.28515625" style="2" customWidth="1"/>
    <col min="3578" max="3578" width="9.85546875" style="2" customWidth="1"/>
    <col min="3579" max="3580" width="0" style="2" hidden="1" customWidth="1"/>
    <col min="3581" max="3581" width="9.42578125" style="2" customWidth="1"/>
    <col min="3582" max="3582" width="10.140625" style="2" customWidth="1"/>
    <col min="3583" max="3583" width="9.7109375" style="2" customWidth="1"/>
    <col min="3584" max="3584" width="9.85546875" style="2" customWidth="1"/>
    <col min="3585" max="3585" width="9.42578125" style="2" customWidth="1"/>
    <col min="3586" max="3587" width="12" style="2" customWidth="1"/>
    <col min="3588" max="3828" width="9.140625" style="2"/>
    <col min="3829" max="3829" width="5" style="2" customWidth="1"/>
    <col min="3830" max="3830" width="54.85546875" style="2" customWidth="1"/>
    <col min="3831" max="3832" width="0" style="2" hidden="1" customWidth="1"/>
    <col min="3833" max="3833" width="8.28515625" style="2" customWidth="1"/>
    <col min="3834" max="3834" width="9.85546875" style="2" customWidth="1"/>
    <col min="3835" max="3836" width="0" style="2" hidden="1" customWidth="1"/>
    <col min="3837" max="3837" width="9.42578125" style="2" customWidth="1"/>
    <col min="3838" max="3838" width="10.140625" style="2" customWidth="1"/>
    <col min="3839" max="3839" width="9.7109375" style="2" customWidth="1"/>
    <col min="3840" max="3840" width="9.85546875" style="2" customWidth="1"/>
    <col min="3841" max="3841" width="9.42578125" style="2" customWidth="1"/>
    <col min="3842" max="3843" width="12" style="2" customWidth="1"/>
    <col min="3844" max="4084" width="9.140625" style="2"/>
    <col min="4085" max="4085" width="5" style="2" customWidth="1"/>
    <col min="4086" max="4086" width="54.85546875" style="2" customWidth="1"/>
    <col min="4087" max="4088" width="0" style="2" hidden="1" customWidth="1"/>
    <col min="4089" max="4089" width="8.28515625" style="2" customWidth="1"/>
    <col min="4090" max="4090" width="9.85546875" style="2" customWidth="1"/>
    <col min="4091" max="4092" width="0" style="2" hidden="1" customWidth="1"/>
    <col min="4093" max="4093" width="9.42578125" style="2" customWidth="1"/>
    <col min="4094" max="4094" width="10.140625" style="2" customWidth="1"/>
    <col min="4095" max="4095" width="9.7109375" style="2" customWidth="1"/>
    <col min="4096" max="4096" width="9.85546875" style="2" customWidth="1"/>
    <col min="4097" max="4097" width="9.42578125" style="2" customWidth="1"/>
    <col min="4098" max="4099" width="12" style="2" customWidth="1"/>
    <col min="4100" max="4340" width="9.140625" style="2"/>
    <col min="4341" max="4341" width="5" style="2" customWidth="1"/>
    <col min="4342" max="4342" width="54.85546875" style="2" customWidth="1"/>
    <col min="4343" max="4344" width="0" style="2" hidden="1" customWidth="1"/>
    <col min="4345" max="4345" width="8.28515625" style="2" customWidth="1"/>
    <col min="4346" max="4346" width="9.85546875" style="2" customWidth="1"/>
    <col min="4347" max="4348" width="0" style="2" hidden="1" customWidth="1"/>
    <col min="4349" max="4349" width="9.42578125" style="2" customWidth="1"/>
    <col min="4350" max="4350" width="10.140625" style="2" customWidth="1"/>
    <col min="4351" max="4351" width="9.7109375" style="2" customWidth="1"/>
    <col min="4352" max="4352" width="9.85546875" style="2" customWidth="1"/>
    <col min="4353" max="4353" width="9.42578125" style="2" customWidth="1"/>
    <col min="4354" max="4355" width="12" style="2" customWidth="1"/>
    <col min="4356" max="4596" width="9.140625" style="2"/>
    <col min="4597" max="4597" width="5" style="2" customWidth="1"/>
    <col min="4598" max="4598" width="54.85546875" style="2" customWidth="1"/>
    <col min="4599" max="4600" width="0" style="2" hidden="1" customWidth="1"/>
    <col min="4601" max="4601" width="8.28515625" style="2" customWidth="1"/>
    <col min="4602" max="4602" width="9.85546875" style="2" customWidth="1"/>
    <col min="4603" max="4604" width="0" style="2" hidden="1" customWidth="1"/>
    <col min="4605" max="4605" width="9.42578125" style="2" customWidth="1"/>
    <col min="4606" max="4606" width="10.140625" style="2" customWidth="1"/>
    <col min="4607" max="4607" width="9.7109375" style="2" customWidth="1"/>
    <col min="4608" max="4608" width="9.85546875" style="2" customWidth="1"/>
    <col min="4609" max="4609" width="9.42578125" style="2" customWidth="1"/>
    <col min="4610" max="4611" width="12" style="2" customWidth="1"/>
    <col min="4612" max="4852" width="9.140625" style="2"/>
    <col min="4853" max="4853" width="5" style="2" customWidth="1"/>
    <col min="4854" max="4854" width="54.85546875" style="2" customWidth="1"/>
    <col min="4855" max="4856" width="0" style="2" hidden="1" customWidth="1"/>
    <col min="4857" max="4857" width="8.28515625" style="2" customWidth="1"/>
    <col min="4858" max="4858" width="9.85546875" style="2" customWidth="1"/>
    <col min="4859" max="4860" width="0" style="2" hidden="1" customWidth="1"/>
    <col min="4861" max="4861" width="9.42578125" style="2" customWidth="1"/>
    <col min="4862" max="4862" width="10.140625" style="2" customWidth="1"/>
    <col min="4863" max="4863" width="9.7109375" style="2" customWidth="1"/>
    <col min="4864" max="4864" width="9.85546875" style="2" customWidth="1"/>
    <col min="4865" max="4865" width="9.42578125" style="2" customWidth="1"/>
    <col min="4866" max="4867" width="12" style="2" customWidth="1"/>
    <col min="4868" max="5108" width="9.140625" style="2"/>
    <col min="5109" max="5109" width="5" style="2" customWidth="1"/>
    <col min="5110" max="5110" width="54.85546875" style="2" customWidth="1"/>
    <col min="5111" max="5112" width="0" style="2" hidden="1" customWidth="1"/>
    <col min="5113" max="5113" width="8.28515625" style="2" customWidth="1"/>
    <col min="5114" max="5114" width="9.85546875" style="2" customWidth="1"/>
    <col min="5115" max="5116" width="0" style="2" hidden="1" customWidth="1"/>
    <col min="5117" max="5117" width="9.42578125" style="2" customWidth="1"/>
    <col min="5118" max="5118" width="10.140625" style="2" customWidth="1"/>
    <col min="5119" max="5119" width="9.7109375" style="2" customWidth="1"/>
    <col min="5120" max="5120" width="9.85546875" style="2" customWidth="1"/>
    <col min="5121" max="5121" width="9.42578125" style="2" customWidth="1"/>
    <col min="5122" max="5123" width="12" style="2" customWidth="1"/>
    <col min="5124" max="5364" width="9.140625" style="2"/>
    <col min="5365" max="5365" width="5" style="2" customWidth="1"/>
    <col min="5366" max="5366" width="54.85546875" style="2" customWidth="1"/>
    <col min="5367" max="5368" width="0" style="2" hidden="1" customWidth="1"/>
    <col min="5369" max="5369" width="8.28515625" style="2" customWidth="1"/>
    <col min="5370" max="5370" width="9.85546875" style="2" customWidth="1"/>
    <col min="5371" max="5372" width="0" style="2" hidden="1" customWidth="1"/>
    <col min="5373" max="5373" width="9.42578125" style="2" customWidth="1"/>
    <col min="5374" max="5374" width="10.140625" style="2" customWidth="1"/>
    <col min="5375" max="5375" width="9.7109375" style="2" customWidth="1"/>
    <col min="5376" max="5376" width="9.85546875" style="2" customWidth="1"/>
    <col min="5377" max="5377" width="9.42578125" style="2" customWidth="1"/>
    <col min="5378" max="5379" width="12" style="2" customWidth="1"/>
    <col min="5380" max="5620" width="9.140625" style="2"/>
    <col min="5621" max="5621" width="5" style="2" customWidth="1"/>
    <col min="5622" max="5622" width="54.85546875" style="2" customWidth="1"/>
    <col min="5623" max="5624" width="0" style="2" hidden="1" customWidth="1"/>
    <col min="5625" max="5625" width="8.28515625" style="2" customWidth="1"/>
    <col min="5626" max="5626" width="9.85546875" style="2" customWidth="1"/>
    <col min="5627" max="5628" width="0" style="2" hidden="1" customWidth="1"/>
    <col min="5629" max="5629" width="9.42578125" style="2" customWidth="1"/>
    <col min="5630" max="5630" width="10.140625" style="2" customWidth="1"/>
    <col min="5631" max="5631" width="9.7109375" style="2" customWidth="1"/>
    <col min="5632" max="5632" width="9.85546875" style="2" customWidth="1"/>
    <col min="5633" max="5633" width="9.42578125" style="2" customWidth="1"/>
    <col min="5634" max="5635" width="12" style="2" customWidth="1"/>
    <col min="5636" max="5876" width="9.140625" style="2"/>
    <col min="5877" max="5877" width="5" style="2" customWidth="1"/>
    <col min="5878" max="5878" width="54.85546875" style="2" customWidth="1"/>
    <col min="5879" max="5880" width="0" style="2" hidden="1" customWidth="1"/>
    <col min="5881" max="5881" width="8.28515625" style="2" customWidth="1"/>
    <col min="5882" max="5882" width="9.85546875" style="2" customWidth="1"/>
    <col min="5883" max="5884" width="0" style="2" hidden="1" customWidth="1"/>
    <col min="5885" max="5885" width="9.42578125" style="2" customWidth="1"/>
    <col min="5886" max="5886" width="10.140625" style="2" customWidth="1"/>
    <col min="5887" max="5887" width="9.7109375" style="2" customWidth="1"/>
    <col min="5888" max="5888" width="9.85546875" style="2" customWidth="1"/>
    <col min="5889" max="5889" width="9.42578125" style="2" customWidth="1"/>
    <col min="5890" max="5891" width="12" style="2" customWidth="1"/>
    <col min="5892" max="6132" width="9.140625" style="2"/>
    <col min="6133" max="6133" width="5" style="2" customWidth="1"/>
    <col min="6134" max="6134" width="54.85546875" style="2" customWidth="1"/>
    <col min="6135" max="6136" width="0" style="2" hidden="1" customWidth="1"/>
    <col min="6137" max="6137" width="8.28515625" style="2" customWidth="1"/>
    <col min="6138" max="6138" width="9.85546875" style="2" customWidth="1"/>
    <col min="6139" max="6140" width="0" style="2" hidden="1" customWidth="1"/>
    <col min="6141" max="6141" width="9.42578125" style="2" customWidth="1"/>
    <col min="6142" max="6142" width="10.140625" style="2" customWidth="1"/>
    <col min="6143" max="6143" width="9.7109375" style="2" customWidth="1"/>
    <col min="6144" max="6144" width="9.85546875" style="2" customWidth="1"/>
    <col min="6145" max="6145" width="9.42578125" style="2" customWidth="1"/>
    <col min="6146" max="6147" width="12" style="2" customWidth="1"/>
    <col min="6148" max="6388" width="9.140625" style="2"/>
    <col min="6389" max="6389" width="5" style="2" customWidth="1"/>
    <col min="6390" max="6390" width="54.85546875" style="2" customWidth="1"/>
    <col min="6391" max="6392" width="0" style="2" hidden="1" customWidth="1"/>
    <col min="6393" max="6393" width="8.28515625" style="2" customWidth="1"/>
    <col min="6394" max="6394" width="9.85546875" style="2" customWidth="1"/>
    <col min="6395" max="6396" width="0" style="2" hidden="1" customWidth="1"/>
    <col min="6397" max="6397" width="9.42578125" style="2" customWidth="1"/>
    <col min="6398" max="6398" width="10.140625" style="2" customWidth="1"/>
    <col min="6399" max="6399" width="9.7109375" style="2" customWidth="1"/>
    <col min="6400" max="6400" width="9.85546875" style="2" customWidth="1"/>
    <col min="6401" max="6401" width="9.42578125" style="2" customWidth="1"/>
    <col min="6402" max="6403" width="12" style="2" customWidth="1"/>
    <col min="6404" max="6644" width="9.140625" style="2"/>
    <col min="6645" max="6645" width="5" style="2" customWidth="1"/>
    <col min="6646" max="6646" width="54.85546875" style="2" customWidth="1"/>
    <col min="6647" max="6648" width="0" style="2" hidden="1" customWidth="1"/>
    <col min="6649" max="6649" width="8.28515625" style="2" customWidth="1"/>
    <col min="6650" max="6650" width="9.85546875" style="2" customWidth="1"/>
    <col min="6651" max="6652" width="0" style="2" hidden="1" customWidth="1"/>
    <col min="6653" max="6653" width="9.42578125" style="2" customWidth="1"/>
    <col min="6654" max="6654" width="10.140625" style="2" customWidth="1"/>
    <col min="6655" max="6655" width="9.7109375" style="2" customWidth="1"/>
    <col min="6656" max="6656" width="9.85546875" style="2" customWidth="1"/>
    <col min="6657" max="6657" width="9.42578125" style="2" customWidth="1"/>
    <col min="6658" max="6659" width="12" style="2" customWidth="1"/>
    <col min="6660" max="6900" width="9.140625" style="2"/>
    <col min="6901" max="6901" width="5" style="2" customWidth="1"/>
    <col min="6902" max="6902" width="54.85546875" style="2" customWidth="1"/>
    <col min="6903" max="6904" width="0" style="2" hidden="1" customWidth="1"/>
    <col min="6905" max="6905" width="8.28515625" style="2" customWidth="1"/>
    <col min="6906" max="6906" width="9.85546875" style="2" customWidth="1"/>
    <col min="6907" max="6908" width="0" style="2" hidden="1" customWidth="1"/>
    <col min="6909" max="6909" width="9.42578125" style="2" customWidth="1"/>
    <col min="6910" max="6910" width="10.140625" style="2" customWidth="1"/>
    <col min="6911" max="6911" width="9.7109375" style="2" customWidth="1"/>
    <col min="6912" max="6912" width="9.85546875" style="2" customWidth="1"/>
    <col min="6913" max="6913" width="9.42578125" style="2" customWidth="1"/>
    <col min="6914" max="6915" width="12" style="2" customWidth="1"/>
    <col min="6916" max="7156" width="9.140625" style="2"/>
    <col min="7157" max="7157" width="5" style="2" customWidth="1"/>
    <col min="7158" max="7158" width="54.85546875" style="2" customWidth="1"/>
    <col min="7159" max="7160" width="0" style="2" hidden="1" customWidth="1"/>
    <col min="7161" max="7161" width="8.28515625" style="2" customWidth="1"/>
    <col min="7162" max="7162" width="9.85546875" style="2" customWidth="1"/>
    <col min="7163" max="7164" width="0" style="2" hidden="1" customWidth="1"/>
    <col min="7165" max="7165" width="9.42578125" style="2" customWidth="1"/>
    <col min="7166" max="7166" width="10.140625" style="2" customWidth="1"/>
    <col min="7167" max="7167" width="9.7109375" style="2" customWidth="1"/>
    <col min="7168" max="7168" width="9.85546875" style="2" customWidth="1"/>
    <col min="7169" max="7169" width="9.42578125" style="2" customWidth="1"/>
    <col min="7170" max="7171" width="12" style="2" customWidth="1"/>
    <col min="7172" max="7412" width="9.140625" style="2"/>
    <col min="7413" max="7413" width="5" style="2" customWidth="1"/>
    <col min="7414" max="7414" width="54.85546875" style="2" customWidth="1"/>
    <col min="7415" max="7416" width="0" style="2" hidden="1" customWidth="1"/>
    <col min="7417" max="7417" width="8.28515625" style="2" customWidth="1"/>
    <col min="7418" max="7418" width="9.85546875" style="2" customWidth="1"/>
    <col min="7419" max="7420" width="0" style="2" hidden="1" customWidth="1"/>
    <col min="7421" max="7421" width="9.42578125" style="2" customWidth="1"/>
    <col min="7422" max="7422" width="10.140625" style="2" customWidth="1"/>
    <col min="7423" max="7423" width="9.7109375" style="2" customWidth="1"/>
    <col min="7424" max="7424" width="9.85546875" style="2" customWidth="1"/>
    <col min="7425" max="7425" width="9.42578125" style="2" customWidth="1"/>
    <col min="7426" max="7427" width="12" style="2" customWidth="1"/>
    <col min="7428" max="7668" width="9.140625" style="2"/>
    <col min="7669" max="7669" width="5" style="2" customWidth="1"/>
    <col min="7670" max="7670" width="54.85546875" style="2" customWidth="1"/>
    <col min="7671" max="7672" width="0" style="2" hidden="1" customWidth="1"/>
    <col min="7673" max="7673" width="8.28515625" style="2" customWidth="1"/>
    <col min="7674" max="7674" width="9.85546875" style="2" customWidth="1"/>
    <col min="7675" max="7676" width="0" style="2" hidden="1" customWidth="1"/>
    <col min="7677" max="7677" width="9.42578125" style="2" customWidth="1"/>
    <col min="7678" max="7678" width="10.140625" style="2" customWidth="1"/>
    <col min="7679" max="7679" width="9.7109375" style="2" customWidth="1"/>
    <col min="7680" max="7680" width="9.85546875" style="2" customWidth="1"/>
    <col min="7681" max="7681" width="9.42578125" style="2" customWidth="1"/>
    <col min="7682" max="7683" width="12" style="2" customWidth="1"/>
    <col min="7684" max="7924" width="9.140625" style="2"/>
    <col min="7925" max="7925" width="5" style="2" customWidth="1"/>
    <col min="7926" max="7926" width="54.85546875" style="2" customWidth="1"/>
    <col min="7927" max="7928" width="0" style="2" hidden="1" customWidth="1"/>
    <col min="7929" max="7929" width="8.28515625" style="2" customWidth="1"/>
    <col min="7930" max="7930" width="9.85546875" style="2" customWidth="1"/>
    <col min="7931" max="7932" width="0" style="2" hidden="1" customWidth="1"/>
    <col min="7933" max="7933" width="9.42578125" style="2" customWidth="1"/>
    <col min="7934" max="7934" width="10.140625" style="2" customWidth="1"/>
    <col min="7935" max="7935" width="9.7109375" style="2" customWidth="1"/>
    <col min="7936" max="7936" width="9.85546875" style="2" customWidth="1"/>
    <col min="7937" max="7937" width="9.42578125" style="2" customWidth="1"/>
    <col min="7938" max="7939" width="12" style="2" customWidth="1"/>
    <col min="7940" max="8180" width="9.140625" style="2"/>
    <col min="8181" max="8181" width="5" style="2" customWidth="1"/>
    <col min="8182" max="8182" width="54.85546875" style="2" customWidth="1"/>
    <col min="8183" max="8184" width="0" style="2" hidden="1" customWidth="1"/>
    <col min="8185" max="8185" width="8.28515625" style="2" customWidth="1"/>
    <col min="8186" max="8186" width="9.85546875" style="2" customWidth="1"/>
    <col min="8187" max="8188" width="0" style="2" hidden="1" customWidth="1"/>
    <col min="8189" max="8189" width="9.42578125" style="2" customWidth="1"/>
    <col min="8190" max="8190" width="10.140625" style="2" customWidth="1"/>
    <col min="8191" max="8191" width="9.7109375" style="2" customWidth="1"/>
    <col min="8192" max="8192" width="9.85546875" style="2" customWidth="1"/>
    <col min="8193" max="8193" width="9.42578125" style="2" customWidth="1"/>
    <col min="8194" max="8195" width="12" style="2" customWidth="1"/>
    <col min="8196" max="8436" width="9.140625" style="2"/>
    <col min="8437" max="8437" width="5" style="2" customWidth="1"/>
    <col min="8438" max="8438" width="54.85546875" style="2" customWidth="1"/>
    <col min="8439" max="8440" width="0" style="2" hidden="1" customWidth="1"/>
    <col min="8441" max="8441" width="8.28515625" style="2" customWidth="1"/>
    <col min="8442" max="8442" width="9.85546875" style="2" customWidth="1"/>
    <col min="8443" max="8444" width="0" style="2" hidden="1" customWidth="1"/>
    <col min="8445" max="8445" width="9.42578125" style="2" customWidth="1"/>
    <col min="8446" max="8446" width="10.140625" style="2" customWidth="1"/>
    <col min="8447" max="8447" width="9.7109375" style="2" customWidth="1"/>
    <col min="8448" max="8448" width="9.85546875" style="2" customWidth="1"/>
    <col min="8449" max="8449" width="9.42578125" style="2" customWidth="1"/>
    <col min="8450" max="8451" width="12" style="2" customWidth="1"/>
    <col min="8452" max="8692" width="9.140625" style="2"/>
    <col min="8693" max="8693" width="5" style="2" customWidth="1"/>
    <col min="8694" max="8694" width="54.85546875" style="2" customWidth="1"/>
    <col min="8695" max="8696" width="0" style="2" hidden="1" customWidth="1"/>
    <col min="8697" max="8697" width="8.28515625" style="2" customWidth="1"/>
    <col min="8698" max="8698" width="9.85546875" style="2" customWidth="1"/>
    <col min="8699" max="8700" width="0" style="2" hidden="1" customWidth="1"/>
    <col min="8701" max="8701" width="9.42578125" style="2" customWidth="1"/>
    <col min="8702" max="8702" width="10.140625" style="2" customWidth="1"/>
    <col min="8703" max="8703" width="9.7109375" style="2" customWidth="1"/>
    <col min="8704" max="8704" width="9.85546875" style="2" customWidth="1"/>
    <col min="8705" max="8705" width="9.42578125" style="2" customWidth="1"/>
    <col min="8706" max="8707" width="12" style="2" customWidth="1"/>
    <col min="8708" max="8948" width="9.140625" style="2"/>
    <col min="8949" max="8949" width="5" style="2" customWidth="1"/>
    <col min="8950" max="8950" width="54.85546875" style="2" customWidth="1"/>
    <col min="8951" max="8952" width="0" style="2" hidden="1" customWidth="1"/>
    <col min="8953" max="8953" width="8.28515625" style="2" customWidth="1"/>
    <col min="8954" max="8954" width="9.85546875" style="2" customWidth="1"/>
    <col min="8955" max="8956" width="0" style="2" hidden="1" customWidth="1"/>
    <col min="8957" max="8957" width="9.42578125" style="2" customWidth="1"/>
    <col min="8958" max="8958" width="10.140625" style="2" customWidth="1"/>
    <col min="8959" max="8959" width="9.7109375" style="2" customWidth="1"/>
    <col min="8960" max="8960" width="9.85546875" style="2" customWidth="1"/>
    <col min="8961" max="8961" width="9.42578125" style="2" customWidth="1"/>
    <col min="8962" max="8963" width="12" style="2" customWidth="1"/>
    <col min="8964" max="9204" width="9.140625" style="2"/>
    <col min="9205" max="9205" width="5" style="2" customWidth="1"/>
    <col min="9206" max="9206" width="54.85546875" style="2" customWidth="1"/>
    <col min="9207" max="9208" width="0" style="2" hidden="1" customWidth="1"/>
    <col min="9209" max="9209" width="8.28515625" style="2" customWidth="1"/>
    <col min="9210" max="9210" width="9.85546875" style="2" customWidth="1"/>
    <col min="9211" max="9212" width="0" style="2" hidden="1" customWidth="1"/>
    <col min="9213" max="9213" width="9.42578125" style="2" customWidth="1"/>
    <col min="9214" max="9214" width="10.140625" style="2" customWidth="1"/>
    <col min="9215" max="9215" width="9.7109375" style="2" customWidth="1"/>
    <col min="9216" max="9216" width="9.85546875" style="2" customWidth="1"/>
    <col min="9217" max="9217" width="9.42578125" style="2" customWidth="1"/>
    <col min="9218" max="9219" width="12" style="2" customWidth="1"/>
    <col min="9220" max="9460" width="9.140625" style="2"/>
    <col min="9461" max="9461" width="5" style="2" customWidth="1"/>
    <col min="9462" max="9462" width="54.85546875" style="2" customWidth="1"/>
    <col min="9463" max="9464" width="0" style="2" hidden="1" customWidth="1"/>
    <col min="9465" max="9465" width="8.28515625" style="2" customWidth="1"/>
    <col min="9466" max="9466" width="9.85546875" style="2" customWidth="1"/>
    <col min="9467" max="9468" width="0" style="2" hidden="1" customWidth="1"/>
    <col min="9469" max="9469" width="9.42578125" style="2" customWidth="1"/>
    <col min="9470" max="9470" width="10.140625" style="2" customWidth="1"/>
    <col min="9471" max="9471" width="9.7109375" style="2" customWidth="1"/>
    <col min="9472" max="9472" width="9.85546875" style="2" customWidth="1"/>
    <col min="9473" max="9473" width="9.42578125" style="2" customWidth="1"/>
    <col min="9474" max="9475" width="12" style="2" customWidth="1"/>
    <col min="9476" max="9716" width="9.140625" style="2"/>
    <col min="9717" max="9717" width="5" style="2" customWidth="1"/>
    <col min="9718" max="9718" width="54.85546875" style="2" customWidth="1"/>
    <col min="9719" max="9720" width="0" style="2" hidden="1" customWidth="1"/>
    <col min="9721" max="9721" width="8.28515625" style="2" customWidth="1"/>
    <col min="9722" max="9722" width="9.85546875" style="2" customWidth="1"/>
    <col min="9723" max="9724" width="0" style="2" hidden="1" customWidth="1"/>
    <col min="9725" max="9725" width="9.42578125" style="2" customWidth="1"/>
    <col min="9726" max="9726" width="10.140625" style="2" customWidth="1"/>
    <col min="9727" max="9727" width="9.7109375" style="2" customWidth="1"/>
    <col min="9728" max="9728" width="9.85546875" style="2" customWidth="1"/>
    <col min="9729" max="9729" width="9.42578125" style="2" customWidth="1"/>
    <col min="9730" max="9731" width="12" style="2" customWidth="1"/>
    <col min="9732" max="9972" width="9.140625" style="2"/>
    <col min="9973" max="9973" width="5" style="2" customWidth="1"/>
    <col min="9974" max="9974" width="54.85546875" style="2" customWidth="1"/>
    <col min="9975" max="9976" width="0" style="2" hidden="1" customWidth="1"/>
    <col min="9977" max="9977" width="8.28515625" style="2" customWidth="1"/>
    <col min="9978" max="9978" width="9.85546875" style="2" customWidth="1"/>
    <col min="9979" max="9980" width="0" style="2" hidden="1" customWidth="1"/>
    <col min="9981" max="9981" width="9.42578125" style="2" customWidth="1"/>
    <col min="9982" max="9982" width="10.140625" style="2" customWidth="1"/>
    <col min="9983" max="9983" width="9.7109375" style="2" customWidth="1"/>
    <col min="9984" max="9984" width="9.85546875" style="2" customWidth="1"/>
    <col min="9985" max="9985" width="9.42578125" style="2" customWidth="1"/>
    <col min="9986" max="9987" width="12" style="2" customWidth="1"/>
    <col min="9988" max="10228" width="9.140625" style="2"/>
    <col min="10229" max="10229" width="5" style="2" customWidth="1"/>
    <col min="10230" max="10230" width="54.85546875" style="2" customWidth="1"/>
    <col min="10231" max="10232" width="0" style="2" hidden="1" customWidth="1"/>
    <col min="10233" max="10233" width="8.28515625" style="2" customWidth="1"/>
    <col min="10234" max="10234" width="9.85546875" style="2" customWidth="1"/>
    <col min="10235" max="10236" width="0" style="2" hidden="1" customWidth="1"/>
    <col min="10237" max="10237" width="9.42578125" style="2" customWidth="1"/>
    <col min="10238" max="10238" width="10.140625" style="2" customWidth="1"/>
    <col min="10239" max="10239" width="9.7109375" style="2" customWidth="1"/>
    <col min="10240" max="10240" width="9.85546875" style="2" customWidth="1"/>
    <col min="10241" max="10241" width="9.42578125" style="2" customWidth="1"/>
    <col min="10242" max="10243" width="12" style="2" customWidth="1"/>
    <col min="10244" max="10484" width="9.140625" style="2"/>
    <col min="10485" max="10485" width="5" style="2" customWidth="1"/>
    <col min="10486" max="10486" width="54.85546875" style="2" customWidth="1"/>
    <col min="10487" max="10488" width="0" style="2" hidden="1" customWidth="1"/>
    <col min="10489" max="10489" width="8.28515625" style="2" customWidth="1"/>
    <col min="10490" max="10490" width="9.85546875" style="2" customWidth="1"/>
    <col min="10491" max="10492" width="0" style="2" hidden="1" customWidth="1"/>
    <col min="10493" max="10493" width="9.42578125" style="2" customWidth="1"/>
    <col min="10494" max="10494" width="10.140625" style="2" customWidth="1"/>
    <col min="10495" max="10495" width="9.7109375" style="2" customWidth="1"/>
    <col min="10496" max="10496" width="9.85546875" style="2" customWidth="1"/>
    <col min="10497" max="10497" width="9.42578125" style="2" customWidth="1"/>
    <col min="10498" max="10499" width="12" style="2" customWidth="1"/>
    <col min="10500" max="10740" width="9.140625" style="2"/>
    <col min="10741" max="10741" width="5" style="2" customWidth="1"/>
    <col min="10742" max="10742" width="54.85546875" style="2" customWidth="1"/>
    <col min="10743" max="10744" width="0" style="2" hidden="1" customWidth="1"/>
    <col min="10745" max="10745" width="8.28515625" style="2" customWidth="1"/>
    <col min="10746" max="10746" width="9.85546875" style="2" customWidth="1"/>
    <col min="10747" max="10748" width="0" style="2" hidden="1" customWidth="1"/>
    <col min="10749" max="10749" width="9.42578125" style="2" customWidth="1"/>
    <col min="10750" max="10750" width="10.140625" style="2" customWidth="1"/>
    <col min="10751" max="10751" width="9.7109375" style="2" customWidth="1"/>
    <col min="10752" max="10752" width="9.85546875" style="2" customWidth="1"/>
    <col min="10753" max="10753" width="9.42578125" style="2" customWidth="1"/>
    <col min="10754" max="10755" width="12" style="2" customWidth="1"/>
    <col min="10756" max="10996" width="9.140625" style="2"/>
    <col min="10997" max="10997" width="5" style="2" customWidth="1"/>
    <col min="10998" max="10998" width="54.85546875" style="2" customWidth="1"/>
    <col min="10999" max="11000" width="0" style="2" hidden="1" customWidth="1"/>
    <col min="11001" max="11001" width="8.28515625" style="2" customWidth="1"/>
    <col min="11002" max="11002" width="9.85546875" style="2" customWidth="1"/>
    <col min="11003" max="11004" width="0" style="2" hidden="1" customWidth="1"/>
    <col min="11005" max="11005" width="9.42578125" style="2" customWidth="1"/>
    <col min="11006" max="11006" width="10.140625" style="2" customWidth="1"/>
    <col min="11007" max="11007" width="9.7109375" style="2" customWidth="1"/>
    <col min="11008" max="11008" width="9.85546875" style="2" customWidth="1"/>
    <col min="11009" max="11009" width="9.42578125" style="2" customWidth="1"/>
    <col min="11010" max="11011" width="12" style="2" customWidth="1"/>
    <col min="11012" max="11252" width="9.140625" style="2"/>
    <col min="11253" max="11253" width="5" style="2" customWidth="1"/>
    <col min="11254" max="11254" width="54.85546875" style="2" customWidth="1"/>
    <col min="11255" max="11256" width="0" style="2" hidden="1" customWidth="1"/>
    <col min="11257" max="11257" width="8.28515625" style="2" customWidth="1"/>
    <col min="11258" max="11258" width="9.85546875" style="2" customWidth="1"/>
    <col min="11259" max="11260" width="0" style="2" hidden="1" customWidth="1"/>
    <col min="11261" max="11261" width="9.42578125" style="2" customWidth="1"/>
    <col min="11262" max="11262" width="10.140625" style="2" customWidth="1"/>
    <col min="11263" max="11263" width="9.7109375" style="2" customWidth="1"/>
    <col min="11264" max="11264" width="9.85546875" style="2" customWidth="1"/>
    <col min="11265" max="11265" width="9.42578125" style="2" customWidth="1"/>
    <col min="11266" max="11267" width="12" style="2" customWidth="1"/>
    <col min="11268" max="11508" width="9.140625" style="2"/>
    <col min="11509" max="11509" width="5" style="2" customWidth="1"/>
    <col min="11510" max="11510" width="54.85546875" style="2" customWidth="1"/>
    <col min="11511" max="11512" width="0" style="2" hidden="1" customWidth="1"/>
    <col min="11513" max="11513" width="8.28515625" style="2" customWidth="1"/>
    <col min="11514" max="11514" width="9.85546875" style="2" customWidth="1"/>
    <col min="11515" max="11516" width="0" style="2" hidden="1" customWidth="1"/>
    <col min="11517" max="11517" width="9.42578125" style="2" customWidth="1"/>
    <col min="11518" max="11518" width="10.140625" style="2" customWidth="1"/>
    <col min="11519" max="11519" width="9.7109375" style="2" customWidth="1"/>
    <col min="11520" max="11520" width="9.85546875" style="2" customWidth="1"/>
    <col min="11521" max="11521" width="9.42578125" style="2" customWidth="1"/>
    <col min="11522" max="11523" width="12" style="2" customWidth="1"/>
    <col min="11524" max="11764" width="9.140625" style="2"/>
    <col min="11765" max="11765" width="5" style="2" customWidth="1"/>
    <col min="11766" max="11766" width="54.85546875" style="2" customWidth="1"/>
    <col min="11767" max="11768" width="0" style="2" hidden="1" customWidth="1"/>
    <col min="11769" max="11769" width="8.28515625" style="2" customWidth="1"/>
    <col min="11770" max="11770" width="9.85546875" style="2" customWidth="1"/>
    <col min="11771" max="11772" width="0" style="2" hidden="1" customWidth="1"/>
    <col min="11773" max="11773" width="9.42578125" style="2" customWidth="1"/>
    <col min="11774" max="11774" width="10.140625" style="2" customWidth="1"/>
    <col min="11775" max="11775" width="9.7109375" style="2" customWidth="1"/>
    <col min="11776" max="11776" width="9.85546875" style="2" customWidth="1"/>
    <col min="11777" max="11777" width="9.42578125" style="2" customWidth="1"/>
    <col min="11778" max="11779" width="12" style="2" customWidth="1"/>
    <col min="11780" max="12020" width="9.140625" style="2"/>
    <col min="12021" max="12021" width="5" style="2" customWidth="1"/>
    <col min="12022" max="12022" width="54.85546875" style="2" customWidth="1"/>
    <col min="12023" max="12024" width="0" style="2" hidden="1" customWidth="1"/>
    <col min="12025" max="12025" width="8.28515625" style="2" customWidth="1"/>
    <col min="12026" max="12026" width="9.85546875" style="2" customWidth="1"/>
    <col min="12027" max="12028" width="0" style="2" hidden="1" customWidth="1"/>
    <col min="12029" max="12029" width="9.42578125" style="2" customWidth="1"/>
    <col min="12030" max="12030" width="10.140625" style="2" customWidth="1"/>
    <col min="12031" max="12031" width="9.7109375" style="2" customWidth="1"/>
    <col min="12032" max="12032" width="9.85546875" style="2" customWidth="1"/>
    <col min="12033" max="12033" width="9.42578125" style="2" customWidth="1"/>
    <col min="12034" max="12035" width="12" style="2" customWidth="1"/>
    <col min="12036" max="12276" width="9.140625" style="2"/>
    <col min="12277" max="12277" width="5" style="2" customWidth="1"/>
    <col min="12278" max="12278" width="54.85546875" style="2" customWidth="1"/>
    <col min="12279" max="12280" width="0" style="2" hidden="1" customWidth="1"/>
    <col min="12281" max="12281" width="8.28515625" style="2" customWidth="1"/>
    <col min="12282" max="12282" width="9.85546875" style="2" customWidth="1"/>
    <col min="12283" max="12284" width="0" style="2" hidden="1" customWidth="1"/>
    <col min="12285" max="12285" width="9.42578125" style="2" customWidth="1"/>
    <col min="12286" max="12286" width="10.140625" style="2" customWidth="1"/>
    <col min="12287" max="12287" width="9.7109375" style="2" customWidth="1"/>
    <col min="12288" max="12288" width="9.85546875" style="2" customWidth="1"/>
    <col min="12289" max="12289" width="9.42578125" style="2" customWidth="1"/>
    <col min="12290" max="12291" width="12" style="2" customWidth="1"/>
    <col min="12292" max="12532" width="9.140625" style="2"/>
    <col min="12533" max="12533" width="5" style="2" customWidth="1"/>
    <col min="12534" max="12534" width="54.85546875" style="2" customWidth="1"/>
    <col min="12535" max="12536" width="0" style="2" hidden="1" customWidth="1"/>
    <col min="12537" max="12537" width="8.28515625" style="2" customWidth="1"/>
    <col min="12538" max="12538" width="9.85546875" style="2" customWidth="1"/>
    <col min="12539" max="12540" width="0" style="2" hidden="1" customWidth="1"/>
    <col min="12541" max="12541" width="9.42578125" style="2" customWidth="1"/>
    <col min="12542" max="12542" width="10.140625" style="2" customWidth="1"/>
    <col min="12543" max="12543" width="9.7109375" style="2" customWidth="1"/>
    <col min="12544" max="12544" width="9.85546875" style="2" customWidth="1"/>
    <col min="12545" max="12545" width="9.42578125" style="2" customWidth="1"/>
    <col min="12546" max="12547" width="12" style="2" customWidth="1"/>
    <col min="12548" max="12788" width="9.140625" style="2"/>
    <col min="12789" max="12789" width="5" style="2" customWidth="1"/>
    <col min="12790" max="12790" width="54.85546875" style="2" customWidth="1"/>
    <col min="12791" max="12792" width="0" style="2" hidden="1" customWidth="1"/>
    <col min="12793" max="12793" width="8.28515625" style="2" customWidth="1"/>
    <col min="12794" max="12794" width="9.85546875" style="2" customWidth="1"/>
    <col min="12795" max="12796" width="0" style="2" hidden="1" customWidth="1"/>
    <col min="12797" max="12797" width="9.42578125" style="2" customWidth="1"/>
    <col min="12798" max="12798" width="10.140625" style="2" customWidth="1"/>
    <col min="12799" max="12799" width="9.7109375" style="2" customWidth="1"/>
    <col min="12800" max="12800" width="9.85546875" style="2" customWidth="1"/>
    <col min="12801" max="12801" width="9.42578125" style="2" customWidth="1"/>
    <col min="12802" max="12803" width="12" style="2" customWidth="1"/>
    <col min="12804" max="13044" width="9.140625" style="2"/>
    <col min="13045" max="13045" width="5" style="2" customWidth="1"/>
    <col min="13046" max="13046" width="54.85546875" style="2" customWidth="1"/>
    <col min="13047" max="13048" width="0" style="2" hidden="1" customWidth="1"/>
    <col min="13049" max="13049" width="8.28515625" style="2" customWidth="1"/>
    <col min="13050" max="13050" width="9.85546875" style="2" customWidth="1"/>
    <col min="13051" max="13052" width="0" style="2" hidden="1" customWidth="1"/>
    <col min="13053" max="13053" width="9.42578125" style="2" customWidth="1"/>
    <col min="13054" max="13054" width="10.140625" style="2" customWidth="1"/>
    <col min="13055" max="13055" width="9.7109375" style="2" customWidth="1"/>
    <col min="13056" max="13056" width="9.85546875" style="2" customWidth="1"/>
    <col min="13057" max="13057" width="9.42578125" style="2" customWidth="1"/>
    <col min="13058" max="13059" width="12" style="2" customWidth="1"/>
    <col min="13060" max="13300" width="9.140625" style="2"/>
    <col min="13301" max="13301" width="5" style="2" customWidth="1"/>
    <col min="13302" max="13302" width="54.85546875" style="2" customWidth="1"/>
    <col min="13303" max="13304" width="0" style="2" hidden="1" customWidth="1"/>
    <col min="13305" max="13305" width="8.28515625" style="2" customWidth="1"/>
    <col min="13306" max="13306" width="9.85546875" style="2" customWidth="1"/>
    <col min="13307" max="13308" width="0" style="2" hidden="1" customWidth="1"/>
    <col min="13309" max="13309" width="9.42578125" style="2" customWidth="1"/>
    <col min="13310" max="13310" width="10.140625" style="2" customWidth="1"/>
    <col min="13311" max="13311" width="9.7109375" style="2" customWidth="1"/>
    <col min="13312" max="13312" width="9.85546875" style="2" customWidth="1"/>
    <col min="13313" max="13313" width="9.42578125" style="2" customWidth="1"/>
    <col min="13314" max="13315" width="12" style="2" customWidth="1"/>
    <col min="13316" max="13556" width="9.140625" style="2"/>
    <col min="13557" max="13557" width="5" style="2" customWidth="1"/>
    <col min="13558" max="13558" width="54.85546875" style="2" customWidth="1"/>
    <col min="13559" max="13560" width="0" style="2" hidden="1" customWidth="1"/>
    <col min="13561" max="13561" width="8.28515625" style="2" customWidth="1"/>
    <col min="13562" max="13562" width="9.85546875" style="2" customWidth="1"/>
    <col min="13563" max="13564" width="0" style="2" hidden="1" customWidth="1"/>
    <col min="13565" max="13565" width="9.42578125" style="2" customWidth="1"/>
    <col min="13566" max="13566" width="10.140625" style="2" customWidth="1"/>
    <col min="13567" max="13567" width="9.7109375" style="2" customWidth="1"/>
    <col min="13568" max="13568" width="9.85546875" style="2" customWidth="1"/>
    <col min="13569" max="13569" width="9.42578125" style="2" customWidth="1"/>
    <col min="13570" max="13571" width="12" style="2" customWidth="1"/>
    <col min="13572" max="13812" width="9.140625" style="2"/>
    <col min="13813" max="13813" width="5" style="2" customWidth="1"/>
    <col min="13814" max="13814" width="54.85546875" style="2" customWidth="1"/>
    <col min="13815" max="13816" width="0" style="2" hidden="1" customWidth="1"/>
    <col min="13817" max="13817" width="8.28515625" style="2" customWidth="1"/>
    <col min="13818" max="13818" width="9.85546875" style="2" customWidth="1"/>
    <col min="13819" max="13820" width="0" style="2" hidden="1" customWidth="1"/>
    <col min="13821" max="13821" width="9.42578125" style="2" customWidth="1"/>
    <col min="13822" max="13822" width="10.140625" style="2" customWidth="1"/>
    <col min="13823" max="13823" width="9.7109375" style="2" customWidth="1"/>
    <col min="13824" max="13824" width="9.85546875" style="2" customWidth="1"/>
    <col min="13825" max="13825" width="9.42578125" style="2" customWidth="1"/>
    <col min="13826" max="13827" width="12" style="2" customWidth="1"/>
    <col min="13828" max="14068" width="9.140625" style="2"/>
    <col min="14069" max="14069" width="5" style="2" customWidth="1"/>
    <col min="14070" max="14070" width="54.85546875" style="2" customWidth="1"/>
    <col min="14071" max="14072" width="0" style="2" hidden="1" customWidth="1"/>
    <col min="14073" max="14073" width="8.28515625" style="2" customWidth="1"/>
    <col min="14074" max="14074" width="9.85546875" style="2" customWidth="1"/>
    <col min="14075" max="14076" width="0" style="2" hidden="1" customWidth="1"/>
    <col min="14077" max="14077" width="9.42578125" style="2" customWidth="1"/>
    <col min="14078" max="14078" width="10.140625" style="2" customWidth="1"/>
    <col min="14079" max="14079" width="9.7109375" style="2" customWidth="1"/>
    <col min="14080" max="14080" width="9.85546875" style="2" customWidth="1"/>
    <col min="14081" max="14081" width="9.42578125" style="2" customWidth="1"/>
    <col min="14082" max="14083" width="12" style="2" customWidth="1"/>
    <col min="14084" max="14324" width="9.140625" style="2"/>
    <col min="14325" max="14325" width="5" style="2" customWidth="1"/>
    <col min="14326" max="14326" width="54.85546875" style="2" customWidth="1"/>
    <col min="14327" max="14328" width="0" style="2" hidden="1" customWidth="1"/>
    <col min="14329" max="14329" width="8.28515625" style="2" customWidth="1"/>
    <col min="14330" max="14330" width="9.85546875" style="2" customWidth="1"/>
    <col min="14331" max="14332" width="0" style="2" hidden="1" customWidth="1"/>
    <col min="14333" max="14333" width="9.42578125" style="2" customWidth="1"/>
    <col min="14334" max="14334" width="10.140625" style="2" customWidth="1"/>
    <col min="14335" max="14335" width="9.7109375" style="2" customWidth="1"/>
    <col min="14336" max="14336" width="9.85546875" style="2" customWidth="1"/>
    <col min="14337" max="14337" width="9.42578125" style="2" customWidth="1"/>
    <col min="14338" max="14339" width="12" style="2" customWidth="1"/>
    <col min="14340" max="14580" width="9.140625" style="2"/>
    <col min="14581" max="14581" width="5" style="2" customWidth="1"/>
    <col min="14582" max="14582" width="54.85546875" style="2" customWidth="1"/>
    <col min="14583" max="14584" width="0" style="2" hidden="1" customWidth="1"/>
    <col min="14585" max="14585" width="8.28515625" style="2" customWidth="1"/>
    <col min="14586" max="14586" width="9.85546875" style="2" customWidth="1"/>
    <col min="14587" max="14588" width="0" style="2" hidden="1" customWidth="1"/>
    <col min="14589" max="14589" width="9.42578125" style="2" customWidth="1"/>
    <col min="14590" max="14590" width="10.140625" style="2" customWidth="1"/>
    <col min="14591" max="14591" width="9.7109375" style="2" customWidth="1"/>
    <col min="14592" max="14592" width="9.85546875" style="2" customWidth="1"/>
    <col min="14593" max="14593" width="9.42578125" style="2" customWidth="1"/>
    <col min="14594" max="14595" width="12" style="2" customWidth="1"/>
    <col min="14596" max="14836" width="9.140625" style="2"/>
    <col min="14837" max="14837" width="5" style="2" customWidth="1"/>
    <col min="14838" max="14838" width="54.85546875" style="2" customWidth="1"/>
    <col min="14839" max="14840" width="0" style="2" hidden="1" customWidth="1"/>
    <col min="14841" max="14841" width="8.28515625" style="2" customWidth="1"/>
    <col min="14842" max="14842" width="9.85546875" style="2" customWidth="1"/>
    <col min="14843" max="14844" width="0" style="2" hidden="1" customWidth="1"/>
    <col min="14845" max="14845" width="9.42578125" style="2" customWidth="1"/>
    <col min="14846" max="14846" width="10.140625" style="2" customWidth="1"/>
    <col min="14847" max="14847" width="9.7109375" style="2" customWidth="1"/>
    <col min="14848" max="14848" width="9.85546875" style="2" customWidth="1"/>
    <col min="14849" max="14849" width="9.42578125" style="2" customWidth="1"/>
    <col min="14850" max="14851" width="12" style="2" customWidth="1"/>
    <col min="14852" max="15092" width="9.140625" style="2"/>
    <col min="15093" max="15093" width="5" style="2" customWidth="1"/>
    <col min="15094" max="15094" width="54.85546875" style="2" customWidth="1"/>
    <col min="15095" max="15096" width="0" style="2" hidden="1" customWidth="1"/>
    <col min="15097" max="15097" width="8.28515625" style="2" customWidth="1"/>
    <col min="15098" max="15098" width="9.85546875" style="2" customWidth="1"/>
    <col min="15099" max="15100" width="0" style="2" hidden="1" customWidth="1"/>
    <col min="15101" max="15101" width="9.42578125" style="2" customWidth="1"/>
    <col min="15102" max="15102" width="10.140625" style="2" customWidth="1"/>
    <col min="15103" max="15103" width="9.7109375" style="2" customWidth="1"/>
    <col min="15104" max="15104" width="9.85546875" style="2" customWidth="1"/>
    <col min="15105" max="15105" width="9.42578125" style="2" customWidth="1"/>
    <col min="15106" max="15107" width="12" style="2" customWidth="1"/>
    <col min="15108" max="15348" width="9.140625" style="2"/>
    <col min="15349" max="15349" width="5" style="2" customWidth="1"/>
    <col min="15350" max="15350" width="54.85546875" style="2" customWidth="1"/>
    <col min="15351" max="15352" width="0" style="2" hidden="1" customWidth="1"/>
    <col min="15353" max="15353" width="8.28515625" style="2" customWidth="1"/>
    <col min="15354" max="15354" width="9.85546875" style="2" customWidth="1"/>
    <col min="15355" max="15356" width="0" style="2" hidden="1" customWidth="1"/>
    <col min="15357" max="15357" width="9.42578125" style="2" customWidth="1"/>
    <col min="15358" max="15358" width="10.140625" style="2" customWidth="1"/>
    <col min="15359" max="15359" width="9.7109375" style="2" customWidth="1"/>
    <col min="15360" max="15360" width="9.85546875" style="2" customWidth="1"/>
    <col min="15361" max="15361" width="9.42578125" style="2" customWidth="1"/>
    <col min="15362" max="15363" width="12" style="2" customWidth="1"/>
    <col min="15364" max="15604" width="9.140625" style="2"/>
    <col min="15605" max="15605" width="5" style="2" customWidth="1"/>
    <col min="15606" max="15606" width="54.85546875" style="2" customWidth="1"/>
    <col min="15607" max="15608" width="0" style="2" hidden="1" customWidth="1"/>
    <col min="15609" max="15609" width="8.28515625" style="2" customWidth="1"/>
    <col min="15610" max="15610" width="9.85546875" style="2" customWidth="1"/>
    <col min="15611" max="15612" width="0" style="2" hidden="1" customWidth="1"/>
    <col min="15613" max="15613" width="9.42578125" style="2" customWidth="1"/>
    <col min="15614" max="15614" width="10.140625" style="2" customWidth="1"/>
    <col min="15615" max="15615" width="9.7109375" style="2" customWidth="1"/>
    <col min="15616" max="15616" width="9.85546875" style="2" customWidth="1"/>
    <col min="15617" max="15617" width="9.42578125" style="2" customWidth="1"/>
    <col min="15618" max="15619" width="12" style="2" customWidth="1"/>
    <col min="15620" max="15860" width="9.140625" style="2"/>
    <col min="15861" max="15861" width="5" style="2" customWidth="1"/>
    <col min="15862" max="15862" width="54.85546875" style="2" customWidth="1"/>
    <col min="15863" max="15864" width="0" style="2" hidden="1" customWidth="1"/>
    <col min="15865" max="15865" width="8.28515625" style="2" customWidth="1"/>
    <col min="15866" max="15866" width="9.85546875" style="2" customWidth="1"/>
    <col min="15867" max="15868" width="0" style="2" hidden="1" customWidth="1"/>
    <col min="15869" max="15869" width="9.42578125" style="2" customWidth="1"/>
    <col min="15870" max="15870" width="10.140625" style="2" customWidth="1"/>
    <col min="15871" max="15871" width="9.7109375" style="2" customWidth="1"/>
    <col min="15872" max="15872" width="9.85546875" style="2" customWidth="1"/>
    <col min="15873" max="15873" width="9.42578125" style="2" customWidth="1"/>
    <col min="15874" max="15875" width="12" style="2" customWidth="1"/>
    <col min="15876" max="16116" width="9.140625" style="2"/>
    <col min="16117" max="16117" width="5" style="2" customWidth="1"/>
    <col min="16118" max="16118" width="54.85546875" style="2" customWidth="1"/>
    <col min="16119" max="16120" width="0" style="2" hidden="1" customWidth="1"/>
    <col min="16121" max="16121" width="8.28515625" style="2" customWidth="1"/>
    <col min="16122" max="16122" width="9.85546875" style="2" customWidth="1"/>
    <col min="16123" max="16124" width="0" style="2" hidden="1" customWidth="1"/>
    <col min="16125" max="16125" width="9.42578125" style="2" customWidth="1"/>
    <col min="16126" max="16126" width="10.140625" style="2" customWidth="1"/>
    <col min="16127" max="16127" width="9.7109375" style="2" customWidth="1"/>
    <col min="16128" max="16128" width="9.85546875" style="2" customWidth="1"/>
    <col min="16129" max="16129" width="9.42578125" style="2" customWidth="1"/>
    <col min="16130" max="16131" width="12" style="2" customWidth="1"/>
    <col min="16132" max="16384" width="9.140625" style="2"/>
  </cols>
  <sheetData>
    <row r="1" spans="1:22" ht="18.75"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8.75">
      <c r="J2" s="67"/>
      <c r="K2" s="67"/>
      <c r="L2" s="67"/>
    </row>
    <row r="3" spans="1:22" ht="15.75" customHeight="1">
      <c r="A3" s="68" t="s">
        <v>80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5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8.75">
      <c r="A6" s="18"/>
      <c r="B6" s="18"/>
      <c r="C6" s="29"/>
      <c r="D6" s="29"/>
      <c r="E6" s="29"/>
      <c r="F6" s="29"/>
      <c r="G6" s="18"/>
      <c r="H6" s="18"/>
      <c r="I6" s="18"/>
      <c r="J6" s="18"/>
      <c r="K6" s="18"/>
      <c r="L6" s="18"/>
    </row>
    <row r="7" spans="1:22" ht="15.75" customHeight="1">
      <c r="A7" s="65" t="s">
        <v>0</v>
      </c>
      <c r="B7" s="69" t="s">
        <v>1</v>
      </c>
      <c r="C7" s="70" t="s">
        <v>70</v>
      </c>
      <c r="D7" s="70" t="s">
        <v>67</v>
      </c>
      <c r="E7" s="70" t="s">
        <v>71</v>
      </c>
      <c r="F7" s="70" t="s">
        <v>86</v>
      </c>
      <c r="G7" s="69" t="s">
        <v>44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>
      <c r="A8" s="65"/>
      <c r="B8" s="69"/>
      <c r="C8" s="70"/>
      <c r="D8" s="70"/>
      <c r="E8" s="70"/>
      <c r="F8" s="70"/>
      <c r="G8" s="69" t="s">
        <v>72</v>
      </c>
      <c r="H8" s="69"/>
      <c r="I8" s="69" t="s">
        <v>73</v>
      </c>
      <c r="J8" s="69"/>
      <c r="K8" s="69" t="s">
        <v>74</v>
      </c>
      <c r="L8" s="69"/>
      <c r="M8" s="69" t="s">
        <v>75</v>
      </c>
      <c r="N8" s="69"/>
      <c r="O8" s="69" t="s">
        <v>76</v>
      </c>
      <c r="P8" s="69"/>
      <c r="Q8" s="69" t="s">
        <v>77</v>
      </c>
      <c r="R8" s="69"/>
      <c r="S8" s="69" t="s">
        <v>78</v>
      </c>
      <c r="T8" s="69"/>
      <c r="U8" s="69" t="s">
        <v>79</v>
      </c>
      <c r="V8" s="69"/>
    </row>
    <row r="9" spans="1:22" ht="31.5">
      <c r="A9" s="65"/>
      <c r="B9" s="69"/>
      <c r="C9" s="70"/>
      <c r="D9" s="70"/>
      <c r="E9" s="70"/>
      <c r="F9" s="70"/>
      <c r="G9" s="50" t="s">
        <v>45</v>
      </c>
      <c r="H9" s="50" t="s">
        <v>46</v>
      </c>
      <c r="I9" s="50" t="s">
        <v>45</v>
      </c>
      <c r="J9" s="50" t="s">
        <v>46</v>
      </c>
      <c r="K9" s="50" t="s">
        <v>45</v>
      </c>
      <c r="L9" s="50" t="s">
        <v>46</v>
      </c>
      <c r="M9" s="50" t="s">
        <v>45</v>
      </c>
      <c r="N9" s="50" t="s">
        <v>46</v>
      </c>
      <c r="O9" s="50" t="s">
        <v>45</v>
      </c>
      <c r="P9" s="50" t="s">
        <v>46</v>
      </c>
      <c r="Q9" s="50" t="s">
        <v>45</v>
      </c>
      <c r="R9" s="50" t="s">
        <v>46</v>
      </c>
      <c r="S9" s="50" t="s">
        <v>45</v>
      </c>
      <c r="T9" s="50" t="s">
        <v>46</v>
      </c>
      <c r="U9" s="50" t="s">
        <v>45</v>
      </c>
      <c r="V9" s="50" t="s">
        <v>46</v>
      </c>
    </row>
    <row r="10" spans="1:22">
      <c r="A10" s="65">
        <v>1</v>
      </c>
      <c r="B10" s="11" t="s">
        <v>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2" ht="31.5">
      <c r="A11" s="65"/>
      <c r="B11" s="1" t="s">
        <v>3</v>
      </c>
      <c r="C11" s="24">
        <v>5965</v>
      </c>
      <c r="D11" s="24">
        <v>6137</v>
      </c>
      <c r="E11" s="4">
        <v>6314.97</v>
      </c>
      <c r="F11" s="4">
        <v>6315</v>
      </c>
      <c r="G11" s="24">
        <f>D11</f>
        <v>6137</v>
      </c>
      <c r="H11" s="4">
        <f>E11</f>
        <v>6314.97</v>
      </c>
      <c r="I11" s="4">
        <f>G11*0.9813</f>
        <v>6022.2380999999996</v>
      </c>
      <c r="J11" s="4">
        <f>H11*0.9858</f>
        <v>6225.2974260000001</v>
      </c>
      <c r="K11" s="4">
        <f>I11*0.9886</f>
        <v>5953.5845856599999</v>
      </c>
      <c r="L11" s="4">
        <f>J11*0.9864</f>
        <v>6140.6333810064007</v>
      </c>
      <c r="M11" s="4">
        <f>K11*0.9946</f>
        <v>5921.435228897436</v>
      </c>
      <c r="N11" s="4">
        <f>L11*1</f>
        <v>6140.6333810064007</v>
      </c>
      <c r="O11" s="4">
        <f>M11*0.9946</f>
        <v>5889.4594786613898</v>
      </c>
      <c r="P11" s="4">
        <f>N11*1</f>
        <v>6140.6333810064007</v>
      </c>
      <c r="Q11" s="4">
        <f>O11*0.9946</f>
        <v>5857.6563974766186</v>
      </c>
      <c r="R11" s="4">
        <f>P11*1</f>
        <v>6140.6333810064007</v>
      </c>
      <c r="S11" s="4">
        <f>Q11*0.9946</f>
        <v>5826.0250529302448</v>
      </c>
      <c r="T11" s="4">
        <f>R11*1</f>
        <v>6140.6333810064007</v>
      </c>
      <c r="U11" s="4">
        <f>S11*0.9946</f>
        <v>5794.5645176444214</v>
      </c>
      <c r="V11" s="4">
        <f>T11*1</f>
        <v>6140.6333810064007</v>
      </c>
    </row>
    <row r="12" spans="1:22" s="19" customFormat="1">
      <c r="A12" s="65"/>
      <c r="B12" s="3" t="s">
        <v>4</v>
      </c>
      <c r="C12" s="33"/>
      <c r="D12" s="33">
        <v>102.9</v>
      </c>
      <c r="E12" s="21"/>
      <c r="F12" s="21"/>
      <c r="G12" s="21"/>
      <c r="H12" s="21"/>
      <c r="I12" s="32">
        <f t="shared" ref="I12:V12" si="0">I11/G11</f>
        <v>0.98129999999999995</v>
      </c>
      <c r="J12" s="32">
        <f t="shared" si="0"/>
        <v>0.98580000000000001</v>
      </c>
      <c r="K12" s="32">
        <f t="shared" si="0"/>
        <v>0.98860000000000003</v>
      </c>
      <c r="L12" s="32">
        <f t="shared" si="0"/>
        <v>0.98640000000000005</v>
      </c>
      <c r="M12" s="32">
        <f t="shared" si="0"/>
        <v>0.99460000000000004</v>
      </c>
      <c r="N12" s="32">
        <f t="shared" si="0"/>
        <v>1</v>
      </c>
      <c r="O12" s="32">
        <f t="shared" si="0"/>
        <v>0.99460000000000004</v>
      </c>
      <c r="P12" s="32">
        <f t="shared" si="0"/>
        <v>1</v>
      </c>
      <c r="Q12" s="32">
        <f t="shared" si="0"/>
        <v>0.99460000000000004</v>
      </c>
      <c r="R12" s="32">
        <f t="shared" si="0"/>
        <v>1</v>
      </c>
      <c r="S12" s="32">
        <f t="shared" si="0"/>
        <v>0.99459999999999993</v>
      </c>
      <c r="T12" s="32">
        <f t="shared" si="0"/>
        <v>1</v>
      </c>
      <c r="U12" s="32">
        <f t="shared" si="0"/>
        <v>0.99459999999999993</v>
      </c>
      <c r="V12" s="32">
        <f t="shared" si="0"/>
        <v>1</v>
      </c>
    </row>
    <row r="13" spans="1:22" ht="31.5">
      <c r="A13" s="65">
        <v>2</v>
      </c>
      <c r="B13" s="6" t="s">
        <v>5</v>
      </c>
      <c r="C13" s="24">
        <v>112</v>
      </c>
      <c r="D13" s="4">
        <v>76</v>
      </c>
      <c r="E13" s="4">
        <v>64</v>
      </c>
      <c r="F13" s="4">
        <f>76*0.8</f>
        <v>60.800000000000004</v>
      </c>
      <c r="G13" s="4">
        <v>64</v>
      </c>
      <c r="H13" s="4">
        <v>61</v>
      </c>
      <c r="I13" s="4">
        <f>G13*112.5/100</f>
        <v>72</v>
      </c>
      <c r="J13" s="4">
        <f>H13</f>
        <v>61</v>
      </c>
      <c r="K13" s="4">
        <f>I13</f>
        <v>72</v>
      </c>
      <c r="L13" s="4">
        <f>J13</f>
        <v>61</v>
      </c>
      <c r="M13" s="4">
        <f>I13</f>
        <v>72</v>
      </c>
      <c r="N13" s="4">
        <f>L13</f>
        <v>61</v>
      </c>
      <c r="O13" s="4">
        <f>M13</f>
        <v>72</v>
      </c>
      <c r="P13" s="4">
        <f>N13</f>
        <v>61</v>
      </c>
      <c r="Q13" s="4">
        <f>M13</f>
        <v>72</v>
      </c>
      <c r="R13" s="4">
        <f>P13</f>
        <v>61</v>
      </c>
      <c r="S13" s="4">
        <f>Q13</f>
        <v>72</v>
      </c>
      <c r="T13" s="4">
        <f>R13</f>
        <v>61</v>
      </c>
      <c r="U13" s="4">
        <f>S13</f>
        <v>72</v>
      </c>
      <c r="V13" s="4">
        <f>T13</f>
        <v>61</v>
      </c>
    </row>
    <row r="14" spans="1:22" s="19" customFormat="1">
      <c r="A14" s="65"/>
      <c r="B14" s="3" t="s">
        <v>4</v>
      </c>
      <c r="C14" s="24"/>
      <c r="D14" s="24"/>
      <c r="E14" s="21"/>
      <c r="F14" s="21"/>
      <c r="G14" s="21"/>
      <c r="H14" s="21"/>
      <c r="I14" s="32">
        <f t="shared" ref="I14:V14" si="1">I13/G13</f>
        <v>1.125</v>
      </c>
      <c r="J14" s="32">
        <f t="shared" si="1"/>
        <v>1</v>
      </c>
      <c r="K14" s="32">
        <f t="shared" si="1"/>
        <v>1</v>
      </c>
      <c r="L14" s="32">
        <f t="shared" si="1"/>
        <v>1</v>
      </c>
      <c r="M14" s="32">
        <f t="shared" si="1"/>
        <v>1</v>
      </c>
      <c r="N14" s="32">
        <f t="shared" si="1"/>
        <v>1</v>
      </c>
      <c r="O14" s="32">
        <f t="shared" si="1"/>
        <v>1</v>
      </c>
      <c r="P14" s="32">
        <f t="shared" si="1"/>
        <v>1</v>
      </c>
      <c r="Q14" s="32">
        <f t="shared" si="1"/>
        <v>1</v>
      </c>
      <c r="R14" s="32">
        <f t="shared" si="1"/>
        <v>1</v>
      </c>
      <c r="S14" s="32">
        <f t="shared" si="1"/>
        <v>1</v>
      </c>
      <c r="T14" s="32">
        <f t="shared" si="1"/>
        <v>1</v>
      </c>
      <c r="U14" s="32">
        <f t="shared" si="1"/>
        <v>1</v>
      </c>
      <c r="V14" s="32">
        <f t="shared" si="1"/>
        <v>1</v>
      </c>
    </row>
    <row r="15" spans="1:22">
      <c r="A15" s="65">
        <v>3</v>
      </c>
      <c r="B15" s="6" t="s">
        <v>47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31.5">
      <c r="A16" s="65"/>
      <c r="B16" s="1" t="s">
        <v>9</v>
      </c>
      <c r="C16" s="24">
        <v>25623.7</v>
      </c>
      <c r="D16" s="51">
        <v>24598.3</v>
      </c>
      <c r="E16" s="5">
        <f>D16/2</f>
        <v>12299.15</v>
      </c>
      <c r="F16" s="5">
        <f>D16/12*9</f>
        <v>18448.724999999999</v>
      </c>
      <c r="G16" s="5">
        <f>D16*0.96</f>
        <v>23614.367999999999</v>
      </c>
      <c r="H16" s="5">
        <f>D16*1.047</f>
        <v>25754.420099999996</v>
      </c>
      <c r="I16" s="5">
        <f>G16*0.96</f>
        <v>22669.793279999998</v>
      </c>
      <c r="J16" s="5">
        <f>H16*1.04</f>
        <v>26784.596903999998</v>
      </c>
      <c r="K16" s="5">
        <f>I16*0.96</f>
        <v>21763.001548799999</v>
      </c>
      <c r="L16" s="5">
        <f>J16*1.04</f>
        <v>27855.98078016</v>
      </c>
      <c r="M16" s="5">
        <f>K16*0.96</f>
        <v>20892.481486847999</v>
      </c>
      <c r="N16" s="5">
        <f>L16*1.04</f>
        <v>28970.2200113664</v>
      </c>
      <c r="O16" s="5">
        <f>M16*0.96</f>
        <v>20056.782227374079</v>
      </c>
      <c r="P16" s="5">
        <f>N16*1.04</f>
        <v>30129.028811821056</v>
      </c>
      <c r="Q16" s="5">
        <f>O16*0.96</f>
        <v>19254.510938279116</v>
      </c>
      <c r="R16" s="5">
        <f>P16*1.04</f>
        <v>31334.189964293899</v>
      </c>
      <c r="S16" s="5">
        <f>Q16*0.96</f>
        <v>18484.33050074795</v>
      </c>
      <c r="T16" s="5">
        <f>R16*1.04</f>
        <v>32587.557562865655</v>
      </c>
      <c r="U16" s="5">
        <f>S16*0.96</f>
        <v>17744.95728071803</v>
      </c>
      <c r="V16" s="5">
        <f>T16*1.04</f>
        <v>33891.059865380281</v>
      </c>
    </row>
    <row r="17" spans="1:22" s="19" customFormat="1">
      <c r="A17" s="65"/>
      <c r="B17" s="3" t="s">
        <v>4</v>
      </c>
      <c r="C17" s="33"/>
      <c r="D17" s="33"/>
      <c r="E17" s="21"/>
      <c r="F17" s="21"/>
      <c r="G17" s="21"/>
      <c r="H17" s="21"/>
      <c r="I17" s="32">
        <f t="shared" ref="I17:V17" si="2">I16/G16</f>
        <v>0.96</v>
      </c>
      <c r="J17" s="32">
        <f t="shared" si="2"/>
        <v>1.04</v>
      </c>
      <c r="K17" s="32">
        <f t="shared" si="2"/>
        <v>0.96000000000000008</v>
      </c>
      <c r="L17" s="32">
        <f t="shared" si="2"/>
        <v>1.04</v>
      </c>
      <c r="M17" s="32">
        <f t="shared" si="2"/>
        <v>0.96</v>
      </c>
      <c r="N17" s="32">
        <f t="shared" si="2"/>
        <v>1.04</v>
      </c>
      <c r="O17" s="32">
        <f t="shared" si="2"/>
        <v>0.96</v>
      </c>
      <c r="P17" s="32">
        <f t="shared" si="2"/>
        <v>1.04</v>
      </c>
      <c r="Q17" s="32">
        <f t="shared" si="2"/>
        <v>0.96000000000000008</v>
      </c>
      <c r="R17" s="32">
        <f t="shared" si="2"/>
        <v>1.04</v>
      </c>
      <c r="S17" s="32">
        <f t="shared" si="2"/>
        <v>0.96</v>
      </c>
      <c r="T17" s="32">
        <f t="shared" si="2"/>
        <v>1.04</v>
      </c>
      <c r="U17" s="32">
        <f t="shared" si="2"/>
        <v>0.95999999999999985</v>
      </c>
      <c r="V17" s="32">
        <f t="shared" si="2"/>
        <v>1.04</v>
      </c>
    </row>
    <row r="18" spans="1:22" ht="67.5" customHeight="1">
      <c r="A18" s="65"/>
      <c r="B18" s="1" t="s">
        <v>81</v>
      </c>
      <c r="C18" s="24"/>
      <c r="D18" s="51"/>
      <c r="E18" s="5"/>
      <c r="F18" s="5"/>
      <c r="G18" s="5"/>
      <c r="H18" s="5"/>
      <c r="I18" s="5"/>
      <c r="J18" s="5"/>
      <c r="K18" s="5"/>
      <c r="L18" s="5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>
      <c r="A19" s="65"/>
      <c r="B19" s="1" t="s">
        <v>51</v>
      </c>
      <c r="C19" s="24">
        <v>24787.8</v>
      </c>
      <c r="D19" s="24">
        <v>23439.9</v>
      </c>
      <c r="E19" s="5">
        <f>D19/2</f>
        <v>11719.95</v>
      </c>
      <c r="F19" s="5">
        <f>D19*1.035/12*9</f>
        <v>18195.222375000001</v>
      </c>
      <c r="G19" s="5">
        <f>D19</f>
        <v>23439.9</v>
      </c>
      <c r="H19" s="5">
        <f>D19*1.026</f>
        <v>24049.3374</v>
      </c>
      <c r="I19" s="5">
        <f>G19*1.07</f>
        <v>25080.693000000003</v>
      </c>
      <c r="J19" s="5">
        <f>H19*1.091</f>
        <v>26237.827103399999</v>
      </c>
      <c r="K19" s="5">
        <f>I19*1.008</f>
        <v>25281.338544000002</v>
      </c>
      <c r="L19" s="5">
        <f>J19*1.014</f>
        <v>26605.156682847599</v>
      </c>
      <c r="M19" s="5">
        <f>K19*1.005</f>
        <v>25407.745236719999</v>
      </c>
      <c r="N19" s="5">
        <f>L19*1.007</f>
        <v>26791.392779627527</v>
      </c>
      <c r="O19" s="5">
        <f>M19*1.005</f>
        <v>25534.783962903595</v>
      </c>
      <c r="P19" s="5">
        <f>N19*1.007</f>
        <v>26978.932529084916</v>
      </c>
      <c r="Q19" s="5">
        <f>O19*1.005</f>
        <v>25662.45788271811</v>
      </c>
      <c r="R19" s="5">
        <f>P19*1.007</f>
        <v>27167.785056788507</v>
      </c>
      <c r="S19" s="5">
        <f>Q19*1.005</f>
        <v>25790.770172131699</v>
      </c>
      <c r="T19" s="5">
        <f>R19*1.007</f>
        <v>27357.959552186025</v>
      </c>
      <c r="U19" s="5">
        <f>S19*1.005</f>
        <v>25919.724022992355</v>
      </c>
      <c r="V19" s="5">
        <f>T19*1.007</f>
        <v>27549.465269051325</v>
      </c>
    </row>
    <row r="20" spans="1:22" s="19" customFormat="1">
      <c r="A20" s="65"/>
      <c r="B20" s="3" t="s">
        <v>4</v>
      </c>
      <c r="C20" s="33"/>
      <c r="D20" s="33"/>
      <c r="E20" s="21"/>
      <c r="F20" s="21"/>
      <c r="G20" s="21"/>
      <c r="H20" s="21"/>
      <c r="I20" s="32">
        <f t="shared" ref="I20:V20" si="3">I19/G19</f>
        <v>1.07</v>
      </c>
      <c r="J20" s="32">
        <f t="shared" si="3"/>
        <v>1.091</v>
      </c>
      <c r="K20" s="32">
        <f t="shared" si="3"/>
        <v>1.008</v>
      </c>
      <c r="L20" s="32">
        <f t="shared" si="3"/>
        <v>1.014</v>
      </c>
      <c r="M20" s="32">
        <f t="shared" si="3"/>
        <v>1.0049999999999999</v>
      </c>
      <c r="N20" s="32">
        <f t="shared" si="3"/>
        <v>1.0069999999999999</v>
      </c>
      <c r="O20" s="32">
        <f t="shared" si="3"/>
        <v>1.0049999999999999</v>
      </c>
      <c r="P20" s="32">
        <f t="shared" si="3"/>
        <v>1.0069999999999999</v>
      </c>
      <c r="Q20" s="32">
        <f t="shared" si="3"/>
        <v>1.0049999999999999</v>
      </c>
      <c r="R20" s="32">
        <f t="shared" si="3"/>
        <v>1.0069999999999999</v>
      </c>
      <c r="S20" s="32">
        <f t="shared" si="3"/>
        <v>1.0049999999999999</v>
      </c>
      <c r="T20" s="32">
        <f t="shared" si="3"/>
        <v>1.0069999999999999</v>
      </c>
      <c r="U20" s="32">
        <f t="shared" si="3"/>
        <v>1.0049999999999999</v>
      </c>
      <c r="V20" s="32">
        <f t="shared" si="3"/>
        <v>1.0069999999999999</v>
      </c>
    </row>
    <row r="21" spans="1:22">
      <c r="A21" s="65"/>
      <c r="B21" s="1" t="s">
        <v>50</v>
      </c>
      <c r="C21" s="24">
        <v>18095.5</v>
      </c>
      <c r="D21" s="51">
        <v>16359.5</v>
      </c>
      <c r="E21" s="5">
        <f>D21/2</f>
        <v>8179.75</v>
      </c>
      <c r="F21" s="5">
        <f>D21/12*9</f>
        <v>12269.625</v>
      </c>
      <c r="G21" s="5">
        <f>D21*0.94</f>
        <v>15377.929999999998</v>
      </c>
      <c r="H21" s="5">
        <f>D21*1.035</f>
        <v>16932.0825</v>
      </c>
      <c r="I21" s="5">
        <f>G21*1.028</f>
        <v>15808.51204</v>
      </c>
      <c r="J21" s="5">
        <f>H21*1.035</f>
        <v>17524.705387499998</v>
      </c>
      <c r="K21" s="5">
        <f>I21*1.022</f>
        <v>16156.29930488</v>
      </c>
      <c r="L21" s="5">
        <f>J21*1.03</f>
        <v>18050.446549124998</v>
      </c>
      <c r="M21" s="5">
        <f>K21*1.022</f>
        <v>16511.737889587359</v>
      </c>
      <c r="N21" s="5">
        <f>L21*1.03</f>
        <v>18591.959945598748</v>
      </c>
      <c r="O21" s="5">
        <f>M21*1.022</f>
        <v>16874.996123158282</v>
      </c>
      <c r="P21" s="5">
        <f>N21*1.03</f>
        <v>19149.71874396671</v>
      </c>
      <c r="Q21" s="5">
        <f>O21*1.022</f>
        <v>17246.246037867764</v>
      </c>
      <c r="R21" s="5">
        <f>P21*1.03</f>
        <v>19724.210306285713</v>
      </c>
      <c r="S21" s="5">
        <f>Q21*1.022</f>
        <v>17625.663450700857</v>
      </c>
      <c r="T21" s="5">
        <f>R21*1.03</f>
        <v>20315.936615474286</v>
      </c>
      <c r="U21" s="5">
        <f>S21*1.022</f>
        <v>18013.428046616275</v>
      </c>
      <c r="V21" s="5">
        <f>T21*1.03</f>
        <v>20925.414713938513</v>
      </c>
    </row>
    <row r="22" spans="1:22" s="19" customFormat="1">
      <c r="A22" s="65"/>
      <c r="B22" s="3" t="s">
        <v>4</v>
      </c>
      <c r="C22" s="33"/>
      <c r="D22" s="33"/>
      <c r="E22" s="21"/>
      <c r="F22" s="21"/>
      <c r="G22" s="21"/>
      <c r="H22" s="21"/>
      <c r="I22" s="32">
        <f t="shared" ref="I22:V22" si="4">I21/G21</f>
        <v>1.028</v>
      </c>
      <c r="J22" s="32">
        <f t="shared" si="4"/>
        <v>1.0349999999999999</v>
      </c>
      <c r="K22" s="32">
        <f t="shared" si="4"/>
        <v>1.022</v>
      </c>
      <c r="L22" s="32">
        <f t="shared" si="4"/>
        <v>1.03</v>
      </c>
      <c r="M22" s="32">
        <f t="shared" si="4"/>
        <v>1.022</v>
      </c>
      <c r="N22" s="32">
        <f t="shared" si="4"/>
        <v>1.03</v>
      </c>
      <c r="O22" s="32">
        <f t="shared" si="4"/>
        <v>1.022</v>
      </c>
      <c r="P22" s="32">
        <f t="shared" si="4"/>
        <v>1.03</v>
      </c>
      <c r="Q22" s="32">
        <f t="shared" si="4"/>
        <v>1.022</v>
      </c>
      <c r="R22" s="32">
        <f t="shared" si="4"/>
        <v>1.03</v>
      </c>
      <c r="S22" s="32">
        <f t="shared" si="4"/>
        <v>1.022</v>
      </c>
      <c r="T22" s="32">
        <f t="shared" si="4"/>
        <v>1.03</v>
      </c>
      <c r="U22" s="32">
        <f t="shared" si="4"/>
        <v>1.022</v>
      </c>
      <c r="V22" s="32">
        <f t="shared" si="4"/>
        <v>1.03</v>
      </c>
    </row>
    <row r="23" spans="1:22" ht="47.25">
      <c r="A23" s="65"/>
      <c r="B23" s="1" t="s">
        <v>49</v>
      </c>
      <c r="C23" s="24">
        <v>4994.3999999999996</v>
      </c>
      <c r="D23" s="51">
        <v>4542.2</v>
      </c>
      <c r="E23" s="5">
        <f>D23/2</f>
        <v>2271.1</v>
      </c>
      <c r="F23" s="5">
        <f>D23/12*9</f>
        <v>3406.6499999999996</v>
      </c>
      <c r="G23" s="5">
        <f>D23*0.909</f>
        <v>4128.8598000000002</v>
      </c>
      <c r="H23" s="5">
        <f>D23*1.004</f>
        <v>4560.3688000000002</v>
      </c>
      <c r="I23" s="5">
        <f>G23*1.025</f>
        <v>4232.081295</v>
      </c>
      <c r="J23" s="5">
        <f>H23*1.03</f>
        <v>4697.1798640000006</v>
      </c>
      <c r="K23" s="5">
        <f>I23*1.03</f>
        <v>4359.0437338499996</v>
      </c>
      <c r="L23" s="5">
        <f>J23*1.035</f>
        <v>4861.5811592400005</v>
      </c>
      <c r="M23" s="5">
        <f>K23*1.03</f>
        <v>4489.8150458655</v>
      </c>
      <c r="N23" s="5">
        <f>L23*1.04</f>
        <v>5056.0444056096003</v>
      </c>
      <c r="O23" s="5">
        <f>M23*1.03</f>
        <v>4624.5094972414654</v>
      </c>
      <c r="P23" s="5">
        <f>N23*1.04</f>
        <v>5258.2861818339843</v>
      </c>
      <c r="Q23" s="5">
        <f>O23*1.03</f>
        <v>4763.2447821587093</v>
      </c>
      <c r="R23" s="5">
        <f>P23*1.04</f>
        <v>5468.6176291073434</v>
      </c>
      <c r="S23" s="5">
        <f>Q23*1.03</f>
        <v>4906.1421256234707</v>
      </c>
      <c r="T23" s="5">
        <f>R23*1.04</f>
        <v>5687.3623342716373</v>
      </c>
      <c r="U23" s="5">
        <f>S23*1.03</f>
        <v>5053.3263893921749</v>
      </c>
      <c r="V23" s="5">
        <f>T23*1.04</f>
        <v>5914.856827642503</v>
      </c>
    </row>
    <row r="24" spans="1:22" s="19" customFormat="1">
      <c r="A24" s="65"/>
      <c r="B24" s="3" t="s">
        <v>4</v>
      </c>
      <c r="C24" s="33"/>
      <c r="D24" s="33"/>
      <c r="E24" s="21"/>
      <c r="F24" s="21"/>
      <c r="G24" s="21"/>
      <c r="H24" s="21"/>
      <c r="I24" s="32">
        <f t="shared" ref="I24:V24" si="5">I23/G23</f>
        <v>1.0249999999999999</v>
      </c>
      <c r="J24" s="32">
        <f t="shared" si="5"/>
        <v>1.03</v>
      </c>
      <c r="K24" s="32">
        <f t="shared" si="5"/>
        <v>1.03</v>
      </c>
      <c r="L24" s="32">
        <f t="shared" si="5"/>
        <v>1.0349999999999999</v>
      </c>
      <c r="M24" s="32">
        <f t="shared" si="5"/>
        <v>1.03</v>
      </c>
      <c r="N24" s="32">
        <f t="shared" si="5"/>
        <v>1.04</v>
      </c>
      <c r="O24" s="32">
        <f t="shared" si="5"/>
        <v>1.03</v>
      </c>
      <c r="P24" s="32">
        <f t="shared" si="5"/>
        <v>1.04</v>
      </c>
      <c r="Q24" s="32">
        <f t="shared" si="5"/>
        <v>1.03</v>
      </c>
      <c r="R24" s="32">
        <f t="shared" si="5"/>
        <v>1.04</v>
      </c>
      <c r="S24" s="32">
        <f t="shared" si="5"/>
        <v>1.03</v>
      </c>
      <c r="T24" s="32">
        <f t="shared" si="5"/>
        <v>1.04</v>
      </c>
      <c r="U24" s="32">
        <f t="shared" si="5"/>
        <v>1.03</v>
      </c>
      <c r="V24" s="32">
        <f t="shared" si="5"/>
        <v>1.04</v>
      </c>
    </row>
    <row r="25" spans="1:22">
      <c r="A25" s="65"/>
      <c r="B25" s="1" t="s">
        <v>48</v>
      </c>
      <c r="C25" s="24"/>
      <c r="D25" s="24"/>
      <c r="E25" s="5"/>
      <c r="F25" s="5"/>
      <c r="G25" s="5"/>
      <c r="H25" s="5"/>
      <c r="I25" s="5"/>
      <c r="J25" s="5"/>
      <c r="K25" s="5"/>
      <c r="L25" s="5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69" customHeight="1">
      <c r="A26" s="65"/>
      <c r="B26" s="1" t="s">
        <v>52</v>
      </c>
      <c r="C26" s="24">
        <v>211.5</v>
      </c>
      <c r="D26" s="51">
        <v>392.8</v>
      </c>
      <c r="E26" s="5">
        <v>226</v>
      </c>
      <c r="F26" s="5">
        <f>D26/12*9</f>
        <v>294.60000000000002</v>
      </c>
      <c r="G26" s="5">
        <f>D26*0.946</f>
        <v>371.58879999999999</v>
      </c>
      <c r="H26" s="5">
        <f>D26*1.023</f>
        <v>401.83439999999996</v>
      </c>
      <c r="I26" s="5">
        <f>G26*1</f>
        <v>371.58879999999999</v>
      </c>
      <c r="J26" s="5">
        <f>H26*1.061</f>
        <v>426.34629839999991</v>
      </c>
      <c r="K26" s="5">
        <f>I26</f>
        <v>371.58879999999999</v>
      </c>
      <c r="L26" s="5">
        <f>J26*1.023</f>
        <v>436.15226326319987</v>
      </c>
      <c r="M26" s="5">
        <f>K26</f>
        <v>371.58879999999999</v>
      </c>
      <c r="N26" s="5">
        <f>L26*1.025</f>
        <v>447.05606984477981</v>
      </c>
      <c r="O26" s="5">
        <f>M26</f>
        <v>371.58879999999999</v>
      </c>
      <c r="P26" s="5">
        <f>N26*1.025</f>
        <v>458.23247159089925</v>
      </c>
      <c r="Q26" s="5">
        <f>O26</f>
        <v>371.58879999999999</v>
      </c>
      <c r="R26" s="5">
        <f>P26*1.025</f>
        <v>469.68828338067169</v>
      </c>
      <c r="S26" s="5">
        <f>Q26</f>
        <v>371.58879999999999</v>
      </c>
      <c r="T26" s="5">
        <f>R26*1.025</f>
        <v>481.43049046518843</v>
      </c>
      <c r="U26" s="5">
        <f>S26</f>
        <v>371.58879999999999</v>
      </c>
      <c r="V26" s="5">
        <f>T26*1.025</f>
        <v>493.46625272681808</v>
      </c>
    </row>
    <row r="27" spans="1:22" s="19" customFormat="1">
      <c r="A27" s="65"/>
      <c r="B27" s="3" t="s">
        <v>4</v>
      </c>
      <c r="C27" s="33"/>
      <c r="D27" s="33"/>
      <c r="E27" s="21"/>
      <c r="F27" s="21"/>
      <c r="G27" s="21"/>
      <c r="H27" s="21"/>
      <c r="I27" s="32">
        <f t="shared" ref="I27:V27" si="6">I26/G26</f>
        <v>1</v>
      </c>
      <c r="J27" s="32">
        <f t="shared" si="6"/>
        <v>1.0609999999999999</v>
      </c>
      <c r="K27" s="32">
        <f t="shared" si="6"/>
        <v>1</v>
      </c>
      <c r="L27" s="32">
        <f t="shared" si="6"/>
        <v>1.0229999999999999</v>
      </c>
      <c r="M27" s="32">
        <f t="shared" si="6"/>
        <v>1</v>
      </c>
      <c r="N27" s="32">
        <f t="shared" si="6"/>
        <v>1.0249999999999999</v>
      </c>
      <c r="O27" s="32">
        <f t="shared" si="6"/>
        <v>1</v>
      </c>
      <c r="P27" s="32">
        <f t="shared" si="6"/>
        <v>1.0249999999999999</v>
      </c>
      <c r="Q27" s="32">
        <f t="shared" si="6"/>
        <v>1</v>
      </c>
      <c r="R27" s="32">
        <f t="shared" si="6"/>
        <v>1.0249999999999999</v>
      </c>
      <c r="S27" s="32">
        <f t="shared" si="6"/>
        <v>1</v>
      </c>
      <c r="T27" s="32">
        <f t="shared" si="6"/>
        <v>1.0249999999999999</v>
      </c>
      <c r="U27" s="32">
        <f t="shared" si="6"/>
        <v>1</v>
      </c>
      <c r="V27" s="32">
        <f t="shared" si="6"/>
        <v>1.0249999999999999</v>
      </c>
    </row>
    <row r="28" spans="1:22">
      <c r="A28" s="65"/>
      <c r="B28" s="52" t="s">
        <v>53</v>
      </c>
      <c r="C28" s="24"/>
      <c r="D28" s="24"/>
      <c r="E28" s="5"/>
      <c r="F28" s="5"/>
      <c r="G28" s="5"/>
      <c r="H28" s="5"/>
      <c r="I28" s="5"/>
      <c r="J28" s="5"/>
      <c r="K28" s="5"/>
      <c r="L28" s="5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47.25">
      <c r="A29" s="65"/>
      <c r="B29" s="1" t="s">
        <v>54</v>
      </c>
      <c r="C29" s="24">
        <v>15.42</v>
      </c>
      <c r="D29" s="24">
        <v>10.199999999999999</v>
      </c>
      <c r="E29" s="5">
        <v>5.7</v>
      </c>
      <c r="F29" s="5">
        <v>7.87</v>
      </c>
      <c r="G29" s="5">
        <f t="shared" ref="G29:V29" si="7">($F$29/9*12)/$F$11*G11</f>
        <v>10.197559250461865</v>
      </c>
      <c r="H29" s="5">
        <f t="shared" si="7"/>
        <v>10.493283483768806</v>
      </c>
      <c r="I29" s="5">
        <f t="shared" si="7"/>
        <v>10.006864892478227</v>
      </c>
      <c r="J29" s="5">
        <f t="shared" si="7"/>
        <v>10.344278858299289</v>
      </c>
      <c r="K29" s="5">
        <f t="shared" si="7"/>
        <v>9.8927866327039755</v>
      </c>
      <c r="L29" s="5">
        <f t="shared" si="7"/>
        <v>10.203596665826419</v>
      </c>
      <c r="M29" s="5">
        <f t="shared" si="7"/>
        <v>9.8393655848873731</v>
      </c>
      <c r="N29" s="5">
        <f t="shared" si="7"/>
        <v>10.203596665826419</v>
      </c>
      <c r="O29" s="5">
        <f t="shared" si="7"/>
        <v>9.7862330107289814</v>
      </c>
      <c r="P29" s="5">
        <f t="shared" si="7"/>
        <v>10.203596665826419</v>
      </c>
      <c r="Q29" s="5">
        <f t="shared" si="7"/>
        <v>9.7333873524710466</v>
      </c>
      <c r="R29" s="5">
        <f t="shared" si="7"/>
        <v>10.203596665826419</v>
      </c>
      <c r="S29" s="5">
        <f t="shared" si="7"/>
        <v>9.6808270607677027</v>
      </c>
      <c r="T29" s="5">
        <f t="shared" si="7"/>
        <v>10.203596665826419</v>
      </c>
      <c r="U29" s="5">
        <f t="shared" si="7"/>
        <v>9.628550594639556</v>
      </c>
      <c r="V29" s="5">
        <f t="shared" si="7"/>
        <v>10.203596665826419</v>
      </c>
    </row>
    <row r="30" spans="1:22" s="19" customFormat="1">
      <c r="A30" s="65"/>
      <c r="B30" s="3" t="s">
        <v>4</v>
      </c>
      <c r="C30" s="33"/>
      <c r="D30" s="33"/>
      <c r="E30" s="21"/>
      <c r="F30" s="21"/>
      <c r="G30" s="21"/>
      <c r="H30" s="21"/>
      <c r="I30" s="32">
        <f t="shared" ref="I30:V30" si="8">I29/G29</f>
        <v>0.98129999999999984</v>
      </c>
      <c r="J30" s="32">
        <f t="shared" si="8"/>
        <v>0.9857999999999999</v>
      </c>
      <c r="K30" s="32">
        <f t="shared" si="8"/>
        <v>0.98860000000000003</v>
      </c>
      <c r="L30" s="32">
        <f t="shared" si="8"/>
        <v>0.98640000000000005</v>
      </c>
      <c r="M30" s="32">
        <f t="shared" si="8"/>
        <v>0.99459999999999993</v>
      </c>
      <c r="N30" s="32">
        <f t="shared" si="8"/>
        <v>1</v>
      </c>
      <c r="O30" s="32">
        <f t="shared" si="8"/>
        <v>0.99460000000000004</v>
      </c>
      <c r="P30" s="32">
        <f t="shared" si="8"/>
        <v>1</v>
      </c>
      <c r="Q30" s="32">
        <f t="shared" si="8"/>
        <v>0.99460000000000015</v>
      </c>
      <c r="R30" s="32">
        <f t="shared" si="8"/>
        <v>1</v>
      </c>
      <c r="S30" s="32">
        <f t="shared" si="8"/>
        <v>0.99459999999999993</v>
      </c>
      <c r="T30" s="32">
        <f t="shared" si="8"/>
        <v>1</v>
      </c>
      <c r="U30" s="32">
        <f t="shared" si="8"/>
        <v>0.99459999999999993</v>
      </c>
      <c r="V30" s="32">
        <f t="shared" si="8"/>
        <v>1</v>
      </c>
    </row>
    <row r="31" spans="1:22">
      <c r="A31" s="65">
        <v>4</v>
      </c>
      <c r="B31" s="6" t="s">
        <v>55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31.5">
      <c r="A32" s="65"/>
      <c r="B32" s="1" t="s">
        <v>56</v>
      </c>
      <c r="C32" s="24"/>
      <c r="D32" s="24">
        <v>227.2</v>
      </c>
      <c r="E32" s="5">
        <v>58</v>
      </c>
      <c r="F32" s="5">
        <f>E32/6*9</f>
        <v>87</v>
      </c>
      <c r="G32" s="5">
        <f>D32*0.98</f>
        <v>222.65599999999998</v>
      </c>
      <c r="H32" s="5">
        <f>D32*0.98</f>
        <v>222.65599999999998</v>
      </c>
      <c r="I32" s="5">
        <f>G32*1.031</f>
        <v>229.55833599999997</v>
      </c>
      <c r="J32" s="5">
        <f>H32*1.035</f>
        <v>230.44895999999997</v>
      </c>
      <c r="K32" s="5">
        <f>I32*1.029</f>
        <v>236.21552774399996</v>
      </c>
      <c r="L32" s="5">
        <f>J32*1.035</f>
        <v>238.51467359999995</v>
      </c>
      <c r="M32" s="5">
        <f>K32*1.029</f>
        <v>243.06577804857594</v>
      </c>
      <c r="N32" s="5">
        <f>L32*1.036</f>
        <v>247.10120184959996</v>
      </c>
      <c r="O32" s="5">
        <f>M32*1.029</f>
        <v>250.11468561198461</v>
      </c>
      <c r="P32" s="5">
        <f>N32*1.036</f>
        <v>255.99684511618557</v>
      </c>
      <c r="Q32" s="5">
        <f>O32*1.029</f>
        <v>257.36801149473217</v>
      </c>
      <c r="R32" s="5">
        <f>P32*1.036</f>
        <v>265.21273154036828</v>
      </c>
      <c r="S32" s="5">
        <f>Q32*1.029</f>
        <v>264.83168382807941</v>
      </c>
      <c r="T32" s="5">
        <f>R32*1.036</f>
        <v>274.76038987582155</v>
      </c>
      <c r="U32" s="5">
        <f>S32*1.029</f>
        <v>272.51180265909369</v>
      </c>
      <c r="V32" s="5">
        <f>T32*1.036</f>
        <v>284.65176391135111</v>
      </c>
    </row>
    <row r="33" spans="1:22" s="19" customFormat="1">
      <c r="A33" s="65"/>
      <c r="B33" s="3" t="s">
        <v>4</v>
      </c>
      <c r="C33" s="33"/>
      <c r="D33" s="33"/>
      <c r="E33" s="21"/>
      <c r="F33" s="21"/>
      <c r="G33" s="21"/>
      <c r="H33" s="21"/>
      <c r="I33" s="32">
        <f t="shared" ref="I33:V33" si="9">I32/G32</f>
        <v>1.0309999999999999</v>
      </c>
      <c r="J33" s="32">
        <f t="shared" si="9"/>
        <v>1.0349999999999999</v>
      </c>
      <c r="K33" s="32">
        <f t="shared" si="9"/>
        <v>1.0289999999999999</v>
      </c>
      <c r="L33" s="32">
        <f t="shared" si="9"/>
        <v>1.0349999999999999</v>
      </c>
      <c r="M33" s="32">
        <f t="shared" si="9"/>
        <v>1.0289999999999999</v>
      </c>
      <c r="N33" s="32">
        <f t="shared" si="9"/>
        <v>1.036</v>
      </c>
      <c r="O33" s="32">
        <f t="shared" si="9"/>
        <v>1.0289999999999999</v>
      </c>
      <c r="P33" s="32">
        <f t="shared" si="9"/>
        <v>1.036</v>
      </c>
      <c r="Q33" s="32">
        <f t="shared" si="9"/>
        <v>1.0290000000000001</v>
      </c>
      <c r="R33" s="32">
        <f t="shared" si="9"/>
        <v>1.036</v>
      </c>
      <c r="S33" s="32">
        <f t="shared" si="9"/>
        <v>1.0289999999999999</v>
      </c>
      <c r="T33" s="32">
        <f t="shared" si="9"/>
        <v>1.036</v>
      </c>
      <c r="U33" s="32">
        <f t="shared" si="9"/>
        <v>1.0289999999999999</v>
      </c>
      <c r="V33" s="32">
        <f t="shared" si="9"/>
        <v>1.036</v>
      </c>
    </row>
    <row r="34" spans="1:22" ht="49.5" customHeight="1">
      <c r="A34" s="65"/>
      <c r="B34" s="1" t="s">
        <v>65</v>
      </c>
      <c r="C34" s="24">
        <v>8.1</v>
      </c>
      <c r="D34" s="24">
        <v>13.1</v>
      </c>
      <c r="E34" s="5">
        <v>6.6</v>
      </c>
      <c r="F34" s="5">
        <f>E34/6*9</f>
        <v>9.8999999999999986</v>
      </c>
      <c r="G34" s="5">
        <f>D34*1</f>
        <v>13.1</v>
      </c>
      <c r="H34" s="5">
        <f>D34*1.0015</f>
        <v>13.11965</v>
      </c>
      <c r="I34" s="5">
        <f>G34*1</f>
        <v>13.1</v>
      </c>
      <c r="J34" s="5">
        <f>G34*1.001</f>
        <v>13.113099999999998</v>
      </c>
      <c r="K34" s="5">
        <f>I34*1</f>
        <v>13.1</v>
      </c>
      <c r="L34" s="5">
        <f>I34*1.001</f>
        <v>13.113099999999998</v>
      </c>
      <c r="M34" s="5">
        <f>K34*1</f>
        <v>13.1</v>
      </c>
      <c r="N34" s="5">
        <f>K34*1.001</f>
        <v>13.113099999999998</v>
      </c>
      <c r="O34" s="5">
        <f>M34*1</f>
        <v>13.1</v>
      </c>
      <c r="P34" s="5">
        <f>M34*1.001</f>
        <v>13.113099999999998</v>
      </c>
      <c r="Q34" s="5">
        <f>O34*1</f>
        <v>13.1</v>
      </c>
      <c r="R34" s="5">
        <f>O34*1.001</f>
        <v>13.113099999999998</v>
      </c>
      <c r="S34" s="5">
        <f>Q34*1</f>
        <v>13.1</v>
      </c>
      <c r="T34" s="5">
        <f>Q34*1.001</f>
        <v>13.113099999999998</v>
      </c>
      <c r="U34" s="5">
        <f>S34*1</f>
        <v>13.1</v>
      </c>
      <c r="V34" s="5">
        <f>S34*1.001</f>
        <v>13.113099999999998</v>
      </c>
    </row>
    <row r="35" spans="1:22" s="19" customFormat="1">
      <c r="A35" s="65"/>
      <c r="B35" s="3" t="s">
        <v>4</v>
      </c>
      <c r="C35" s="33"/>
      <c r="D35" s="33"/>
      <c r="E35" s="21"/>
      <c r="F35" s="21"/>
      <c r="G35" s="21"/>
      <c r="H35" s="21"/>
      <c r="I35" s="32">
        <f t="shared" ref="I35:V35" si="10">I34/G34</f>
        <v>1</v>
      </c>
      <c r="J35" s="32">
        <f t="shared" si="10"/>
        <v>0.99950074887668483</v>
      </c>
      <c r="K35" s="32">
        <f t="shared" si="10"/>
        <v>1</v>
      </c>
      <c r="L35" s="32">
        <f t="shared" si="10"/>
        <v>1</v>
      </c>
      <c r="M35" s="32">
        <f t="shared" si="10"/>
        <v>1</v>
      </c>
      <c r="N35" s="32">
        <f t="shared" si="10"/>
        <v>1</v>
      </c>
      <c r="O35" s="32">
        <f t="shared" si="10"/>
        <v>1</v>
      </c>
      <c r="P35" s="32">
        <f t="shared" si="10"/>
        <v>1</v>
      </c>
      <c r="Q35" s="32">
        <f t="shared" si="10"/>
        <v>1</v>
      </c>
      <c r="R35" s="32">
        <f t="shared" si="10"/>
        <v>1</v>
      </c>
      <c r="S35" s="32">
        <f t="shared" si="10"/>
        <v>1</v>
      </c>
      <c r="T35" s="32">
        <f t="shared" si="10"/>
        <v>1</v>
      </c>
      <c r="U35" s="32">
        <f t="shared" si="10"/>
        <v>1</v>
      </c>
      <c r="V35" s="32">
        <f t="shared" si="10"/>
        <v>1</v>
      </c>
    </row>
    <row r="36" spans="1:22" ht="68.25" customHeight="1">
      <c r="A36" s="65"/>
      <c r="B36" s="1" t="s">
        <v>66</v>
      </c>
      <c r="C36" s="24">
        <v>280.39999999999998</v>
      </c>
      <c r="D36" s="24">
        <v>295.5</v>
      </c>
      <c r="E36" s="5">
        <v>150.6</v>
      </c>
      <c r="F36" s="5">
        <f>E36/6*9</f>
        <v>225.89999999999998</v>
      </c>
      <c r="G36" s="5">
        <f>D36*0.99</f>
        <v>292.54500000000002</v>
      </c>
      <c r="H36" s="5">
        <f>D36*0.99</f>
        <v>292.54500000000002</v>
      </c>
      <c r="I36" s="5">
        <f t="shared" ref="I36:V36" si="11">G36*1</f>
        <v>292.54500000000002</v>
      </c>
      <c r="J36" s="5">
        <f t="shared" si="11"/>
        <v>292.54500000000002</v>
      </c>
      <c r="K36" s="5">
        <f t="shared" si="11"/>
        <v>292.54500000000002</v>
      </c>
      <c r="L36" s="5">
        <f t="shared" si="11"/>
        <v>292.54500000000002</v>
      </c>
      <c r="M36" s="5">
        <f t="shared" si="11"/>
        <v>292.54500000000002</v>
      </c>
      <c r="N36" s="5">
        <f t="shared" si="11"/>
        <v>292.54500000000002</v>
      </c>
      <c r="O36" s="5">
        <f t="shared" si="11"/>
        <v>292.54500000000002</v>
      </c>
      <c r="P36" s="5">
        <f t="shared" si="11"/>
        <v>292.54500000000002</v>
      </c>
      <c r="Q36" s="5">
        <f t="shared" si="11"/>
        <v>292.54500000000002</v>
      </c>
      <c r="R36" s="5">
        <f t="shared" si="11"/>
        <v>292.54500000000002</v>
      </c>
      <c r="S36" s="5">
        <f t="shared" si="11"/>
        <v>292.54500000000002</v>
      </c>
      <c r="T36" s="5">
        <f t="shared" si="11"/>
        <v>292.54500000000002</v>
      </c>
      <c r="U36" s="5">
        <f t="shared" si="11"/>
        <v>292.54500000000002</v>
      </c>
      <c r="V36" s="5">
        <f t="shared" si="11"/>
        <v>292.54500000000002</v>
      </c>
    </row>
    <row r="37" spans="1:22" s="19" customFormat="1">
      <c r="A37" s="65"/>
      <c r="B37" s="3" t="s">
        <v>4</v>
      </c>
      <c r="C37" s="33"/>
      <c r="D37" s="33"/>
      <c r="E37" s="21"/>
      <c r="F37" s="21"/>
      <c r="G37" s="21"/>
      <c r="H37" s="21"/>
      <c r="I37" s="32">
        <f t="shared" ref="I37:V37" si="12">I36/G36</f>
        <v>1</v>
      </c>
      <c r="J37" s="32">
        <f t="shared" si="12"/>
        <v>1</v>
      </c>
      <c r="K37" s="32">
        <f t="shared" si="12"/>
        <v>1</v>
      </c>
      <c r="L37" s="32">
        <f t="shared" si="12"/>
        <v>1</v>
      </c>
      <c r="M37" s="32">
        <f t="shared" si="12"/>
        <v>1</v>
      </c>
      <c r="N37" s="32">
        <f t="shared" si="12"/>
        <v>1</v>
      </c>
      <c r="O37" s="32">
        <f t="shared" si="12"/>
        <v>1</v>
      </c>
      <c r="P37" s="32">
        <f t="shared" si="12"/>
        <v>1</v>
      </c>
      <c r="Q37" s="32">
        <f t="shared" si="12"/>
        <v>1</v>
      </c>
      <c r="R37" s="32">
        <f t="shared" si="12"/>
        <v>1</v>
      </c>
      <c r="S37" s="32">
        <f t="shared" si="12"/>
        <v>1</v>
      </c>
      <c r="T37" s="32">
        <f t="shared" si="12"/>
        <v>1</v>
      </c>
      <c r="U37" s="32">
        <f t="shared" si="12"/>
        <v>1</v>
      </c>
      <c r="V37" s="32">
        <f t="shared" si="12"/>
        <v>1</v>
      </c>
    </row>
    <row r="38" spans="1:22" ht="41.25" customHeight="1">
      <c r="A38" s="65">
        <v>5</v>
      </c>
      <c r="B38" s="6" t="s">
        <v>6</v>
      </c>
      <c r="C38" s="25">
        <v>207</v>
      </c>
      <c r="D38" s="25">
        <v>207</v>
      </c>
      <c r="E38" s="36">
        <v>206</v>
      </c>
      <c r="F38" s="36">
        <f>E38</f>
        <v>206</v>
      </c>
      <c r="G38" s="36">
        <f>E38*0.995</f>
        <v>204.97</v>
      </c>
      <c r="H38" s="36">
        <f>E38*1</f>
        <v>206</v>
      </c>
      <c r="I38" s="36">
        <f>G38*0.995</f>
        <v>203.94514999999998</v>
      </c>
      <c r="J38" s="36">
        <f>H38*1</f>
        <v>206</v>
      </c>
      <c r="K38" s="36">
        <f>I38*0.995</f>
        <v>202.92542424999999</v>
      </c>
      <c r="L38" s="36">
        <f>J38*1</f>
        <v>206</v>
      </c>
      <c r="M38" s="36">
        <f>K38*0.995</f>
        <v>201.91079712875</v>
      </c>
      <c r="N38" s="36">
        <f>L38*1</f>
        <v>206</v>
      </c>
      <c r="O38" s="36">
        <f>M38*0.995</f>
        <v>200.90124314310626</v>
      </c>
      <c r="P38" s="36">
        <f>N38*1</f>
        <v>206</v>
      </c>
      <c r="Q38" s="36">
        <f>O38*0.995</f>
        <v>199.89673692739072</v>
      </c>
      <c r="R38" s="36">
        <f>P38*1</f>
        <v>206</v>
      </c>
      <c r="S38" s="36">
        <f>Q38*0.995</f>
        <v>198.89725324275378</v>
      </c>
      <c r="T38" s="36">
        <f>R38*1</f>
        <v>206</v>
      </c>
      <c r="U38" s="36">
        <f>S38*0.995</f>
        <v>197.90276697653999</v>
      </c>
      <c r="V38" s="36">
        <f>T38*1</f>
        <v>206</v>
      </c>
    </row>
    <row r="39" spans="1:22" s="19" customFormat="1">
      <c r="A39" s="65"/>
      <c r="B39" s="3" t="s">
        <v>4</v>
      </c>
      <c r="C39" s="33"/>
      <c r="D39" s="33"/>
      <c r="E39" s="21"/>
      <c r="F39" s="21"/>
      <c r="G39" s="21"/>
      <c r="H39" s="21"/>
      <c r="I39" s="32">
        <f>I38/G38</f>
        <v>0.99499999999999988</v>
      </c>
      <c r="J39" s="32">
        <f>J38/H38</f>
        <v>1</v>
      </c>
      <c r="K39" s="32">
        <f>K38/I38</f>
        <v>0.995</v>
      </c>
      <c r="L39" s="32">
        <f>L38/J38</f>
        <v>1</v>
      </c>
      <c r="M39" s="32">
        <f t="shared" ref="M39:V39" si="13">M38/K38</f>
        <v>0.99500000000000011</v>
      </c>
      <c r="N39" s="32">
        <f t="shared" si="13"/>
        <v>1</v>
      </c>
      <c r="O39" s="32">
        <f t="shared" si="13"/>
        <v>0.995</v>
      </c>
      <c r="P39" s="32">
        <f t="shared" si="13"/>
        <v>1</v>
      </c>
      <c r="Q39" s="32">
        <f t="shared" si="13"/>
        <v>0.995</v>
      </c>
      <c r="R39" s="32">
        <f t="shared" si="13"/>
        <v>1</v>
      </c>
      <c r="S39" s="32">
        <f t="shared" si="13"/>
        <v>0.99500000000000011</v>
      </c>
      <c r="T39" s="32">
        <f t="shared" si="13"/>
        <v>1</v>
      </c>
      <c r="U39" s="32">
        <f t="shared" si="13"/>
        <v>0.99499999999999988</v>
      </c>
      <c r="V39" s="32">
        <f t="shared" si="13"/>
        <v>1</v>
      </c>
    </row>
    <row r="40" spans="1:22" ht="31.5">
      <c r="A40" s="65"/>
      <c r="B40" s="1" t="s">
        <v>7</v>
      </c>
      <c r="C40" s="25">
        <v>31</v>
      </c>
      <c r="D40" s="25">
        <v>30</v>
      </c>
      <c r="E40" s="48">
        <v>30</v>
      </c>
      <c r="F40" s="48">
        <f>E40</f>
        <v>30</v>
      </c>
      <c r="G40" s="36">
        <f>E40*0.995</f>
        <v>29.85</v>
      </c>
      <c r="H40" s="36">
        <f>E40*1</f>
        <v>30</v>
      </c>
      <c r="I40" s="36">
        <f>G40*0.995</f>
        <v>29.700750000000003</v>
      </c>
      <c r="J40" s="36">
        <f>H40*1</f>
        <v>30</v>
      </c>
      <c r="K40" s="36">
        <f>I40*0.995</f>
        <v>29.552246250000003</v>
      </c>
      <c r="L40" s="36">
        <f>J40*1</f>
        <v>30</v>
      </c>
      <c r="M40" s="36">
        <f>K40*0.995</f>
        <v>29.404485018750002</v>
      </c>
      <c r="N40" s="36">
        <f>L40*1</f>
        <v>30</v>
      </c>
      <c r="O40" s="36">
        <f>M40*0.995</f>
        <v>29.257462593656253</v>
      </c>
      <c r="P40" s="36">
        <f>N40*1</f>
        <v>30</v>
      </c>
      <c r="Q40" s="36">
        <f>O40*0.995</f>
        <v>29.111175280687974</v>
      </c>
      <c r="R40" s="36">
        <f>P40*1</f>
        <v>30</v>
      </c>
      <c r="S40" s="36">
        <f>Q40*0.995</f>
        <v>28.965619404284535</v>
      </c>
      <c r="T40" s="36">
        <f>R40*1</f>
        <v>30</v>
      </c>
      <c r="U40" s="36">
        <f>S40*0.995</f>
        <v>28.820791307263111</v>
      </c>
      <c r="V40" s="36">
        <f>T40*1</f>
        <v>30</v>
      </c>
    </row>
    <row r="41" spans="1:22" s="19" customFormat="1">
      <c r="A41" s="65"/>
      <c r="B41" s="3" t="s">
        <v>4</v>
      </c>
      <c r="C41" s="33"/>
      <c r="D41" s="33"/>
      <c r="E41" s="21"/>
      <c r="F41" s="21"/>
      <c r="G41" s="21"/>
      <c r="H41" s="21"/>
      <c r="I41" s="32">
        <f t="shared" ref="I41:V41" si="14">I40/G40</f>
        <v>0.995</v>
      </c>
      <c r="J41" s="32">
        <f t="shared" si="14"/>
        <v>1</v>
      </c>
      <c r="K41" s="32">
        <f t="shared" si="14"/>
        <v>0.995</v>
      </c>
      <c r="L41" s="32">
        <f t="shared" si="14"/>
        <v>1</v>
      </c>
      <c r="M41" s="32">
        <f t="shared" si="14"/>
        <v>0.995</v>
      </c>
      <c r="N41" s="32">
        <f t="shared" si="14"/>
        <v>1</v>
      </c>
      <c r="O41" s="32">
        <f t="shared" si="14"/>
        <v>0.99500000000000011</v>
      </c>
      <c r="P41" s="32">
        <f t="shared" si="14"/>
        <v>1</v>
      </c>
      <c r="Q41" s="32">
        <f t="shared" si="14"/>
        <v>0.995</v>
      </c>
      <c r="R41" s="32">
        <f t="shared" si="14"/>
        <v>1</v>
      </c>
      <c r="S41" s="32">
        <f t="shared" si="14"/>
        <v>0.995</v>
      </c>
      <c r="T41" s="32">
        <f t="shared" si="14"/>
        <v>1</v>
      </c>
      <c r="U41" s="32">
        <f t="shared" si="14"/>
        <v>0.995</v>
      </c>
      <c r="V41" s="32">
        <f t="shared" si="14"/>
        <v>1</v>
      </c>
    </row>
    <row r="42" spans="1:22" ht="31.5">
      <c r="A42" s="65"/>
      <c r="B42" s="1" t="s">
        <v>8</v>
      </c>
      <c r="C42" s="24">
        <v>4</v>
      </c>
      <c r="D42" s="24">
        <v>4</v>
      </c>
      <c r="E42" s="38">
        <v>4</v>
      </c>
      <c r="F42" s="38">
        <f>E42</f>
        <v>4</v>
      </c>
      <c r="G42" s="36">
        <f>E42*0.995</f>
        <v>3.98</v>
      </c>
      <c r="H42" s="36">
        <f>E42*1</f>
        <v>4</v>
      </c>
      <c r="I42" s="36">
        <f>G42*0.995</f>
        <v>3.9601000000000002</v>
      </c>
      <c r="J42" s="36">
        <f>H42*1</f>
        <v>4</v>
      </c>
      <c r="K42" s="36">
        <f>I42*0.995</f>
        <v>3.9402995000000001</v>
      </c>
      <c r="L42" s="36">
        <f>J42*1</f>
        <v>4</v>
      </c>
      <c r="M42" s="36">
        <f>K42*0.995</f>
        <v>3.9205980025000002</v>
      </c>
      <c r="N42" s="36">
        <f>L42*1</f>
        <v>4</v>
      </c>
      <c r="O42" s="36">
        <f>M42*0.995</f>
        <v>3.9009950124875004</v>
      </c>
      <c r="P42" s="36">
        <f>N42*1</f>
        <v>4</v>
      </c>
      <c r="Q42" s="36">
        <f>O42*0.995</f>
        <v>3.8814900374250629</v>
      </c>
      <c r="R42" s="36">
        <f>P42*1</f>
        <v>4</v>
      </c>
      <c r="S42" s="36">
        <f>Q42*0.995</f>
        <v>3.8620825872379374</v>
      </c>
      <c r="T42" s="36">
        <f>R42*1</f>
        <v>4</v>
      </c>
      <c r="U42" s="36">
        <f>S42*0.995</f>
        <v>3.8427721743017478</v>
      </c>
      <c r="V42" s="36">
        <f>T42*1</f>
        <v>4</v>
      </c>
    </row>
    <row r="43" spans="1:22" s="19" customFormat="1">
      <c r="A43" s="65"/>
      <c r="B43" s="3" t="s">
        <v>4</v>
      </c>
      <c r="C43" s="33"/>
      <c r="D43" s="33"/>
      <c r="E43" s="21"/>
      <c r="F43" s="21"/>
      <c r="G43" s="21"/>
      <c r="H43" s="21"/>
      <c r="I43" s="32">
        <f t="shared" ref="I43:V43" si="15">I42/G42</f>
        <v>0.995</v>
      </c>
      <c r="J43" s="32">
        <f t="shared" si="15"/>
        <v>1</v>
      </c>
      <c r="K43" s="32">
        <f t="shared" si="15"/>
        <v>0.995</v>
      </c>
      <c r="L43" s="32">
        <f t="shared" si="15"/>
        <v>1</v>
      </c>
      <c r="M43" s="32">
        <f t="shared" si="15"/>
        <v>0.995</v>
      </c>
      <c r="N43" s="32">
        <f t="shared" si="15"/>
        <v>1</v>
      </c>
      <c r="O43" s="32">
        <f t="shared" si="15"/>
        <v>0.995</v>
      </c>
      <c r="P43" s="32">
        <f t="shared" si="15"/>
        <v>1</v>
      </c>
      <c r="Q43" s="32">
        <f t="shared" si="15"/>
        <v>0.995</v>
      </c>
      <c r="R43" s="32">
        <f t="shared" si="15"/>
        <v>1</v>
      </c>
      <c r="S43" s="32">
        <f t="shared" si="15"/>
        <v>0.995</v>
      </c>
      <c r="T43" s="32">
        <f t="shared" si="15"/>
        <v>1</v>
      </c>
      <c r="U43" s="32">
        <f t="shared" si="15"/>
        <v>0.995</v>
      </c>
      <c r="V43" s="32">
        <f t="shared" si="15"/>
        <v>1</v>
      </c>
    </row>
    <row r="44" spans="1:22" ht="33.75" customHeight="1">
      <c r="A44" s="65">
        <v>6</v>
      </c>
      <c r="B44" s="6" t="s">
        <v>85</v>
      </c>
      <c r="C44" s="24">
        <v>7.91</v>
      </c>
      <c r="D44" s="24">
        <v>8.07</v>
      </c>
      <c r="E44" s="5">
        <v>1.821</v>
      </c>
      <c r="F44" s="5">
        <v>5.8</v>
      </c>
      <c r="G44" s="5">
        <f>D44*1.018</f>
        <v>8.2152600000000007</v>
      </c>
      <c r="H44" s="5">
        <f>D44*1.023</f>
        <v>8.255609999999999</v>
      </c>
      <c r="I44" s="5">
        <f>G44*1.021</f>
        <v>8.3877804600000001</v>
      </c>
      <c r="J44" s="5">
        <f>G44*1.03</f>
        <v>8.4617178000000006</v>
      </c>
      <c r="K44" s="5">
        <f>I44*1.031</f>
        <v>8.6478016542600002</v>
      </c>
      <c r="L44" s="5">
        <f>J44*1.031</f>
        <v>8.724031051799999</v>
      </c>
      <c r="M44" s="5">
        <f>K44*1.029</f>
        <v>8.8985879022335403</v>
      </c>
      <c r="N44" s="5">
        <f>L44*1.031</f>
        <v>8.994476014405798</v>
      </c>
      <c r="O44" s="5">
        <f>M44*1.028</f>
        <v>9.1477483634960794</v>
      </c>
      <c r="P44" s="5">
        <f>N44*1.03</f>
        <v>9.2643102948379727</v>
      </c>
      <c r="Q44" s="5">
        <f>O44*1.028</f>
        <v>9.4038853176739696</v>
      </c>
      <c r="R44" s="5">
        <f>P44*1.028</f>
        <v>9.5237109830934354</v>
      </c>
      <c r="S44" s="5">
        <f>Q44*1.027</f>
        <v>9.6577902212511653</v>
      </c>
      <c r="T44" s="5">
        <f>R44*1.028</f>
        <v>9.7903748906200523</v>
      </c>
      <c r="U44" s="5">
        <f>S44*1.028</f>
        <v>9.9282083474461977</v>
      </c>
      <c r="V44" s="5">
        <f>T44*1.028</f>
        <v>10.064505387557414</v>
      </c>
    </row>
    <row r="45" spans="1:22" s="19" customFormat="1" ht="18.75" customHeight="1">
      <c r="A45" s="65"/>
      <c r="B45" s="3" t="s">
        <v>4</v>
      </c>
      <c r="C45" s="33"/>
      <c r="D45" s="33"/>
      <c r="E45" s="21"/>
      <c r="F45" s="21"/>
      <c r="G45" s="21"/>
      <c r="H45" s="21"/>
      <c r="I45" s="32">
        <f t="shared" ref="I45:V45" si="16">I44/G44</f>
        <v>1.0209999999999999</v>
      </c>
      <c r="J45" s="32">
        <f t="shared" si="16"/>
        <v>1.0249657869012709</v>
      </c>
      <c r="K45" s="32">
        <f t="shared" si="16"/>
        <v>1.0309999999999999</v>
      </c>
      <c r="L45" s="32">
        <f t="shared" si="16"/>
        <v>1.0309999999999999</v>
      </c>
      <c r="M45" s="32">
        <f t="shared" si="16"/>
        <v>1.0289999999999999</v>
      </c>
      <c r="N45" s="32">
        <f t="shared" si="16"/>
        <v>1.0309999999999999</v>
      </c>
      <c r="O45" s="32">
        <f t="shared" si="16"/>
        <v>1.028</v>
      </c>
      <c r="P45" s="32">
        <f t="shared" si="16"/>
        <v>1.03</v>
      </c>
      <c r="Q45" s="32">
        <f t="shared" si="16"/>
        <v>1.028</v>
      </c>
      <c r="R45" s="32">
        <f t="shared" si="16"/>
        <v>1.028</v>
      </c>
      <c r="S45" s="32">
        <f t="shared" si="16"/>
        <v>1.0269999999999999</v>
      </c>
      <c r="T45" s="32">
        <f t="shared" si="16"/>
        <v>1.028</v>
      </c>
      <c r="U45" s="32">
        <f t="shared" si="16"/>
        <v>1.028</v>
      </c>
      <c r="V45" s="32">
        <f t="shared" si="16"/>
        <v>1.028</v>
      </c>
    </row>
    <row r="46" spans="1:22" ht="31.5" customHeight="1">
      <c r="A46" s="65">
        <v>7</v>
      </c>
      <c r="B46" s="6" t="s">
        <v>83</v>
      </c>
      <c r="C46" s="25">
        <v>2566.1</v>
      </c>
      <c r="D46" s="51">
        <v>2283.5</v>
      </c>
      <c r="E46" s="49" t="s">
        <v>82</v>
      </c>
      <c r="F46" s="49" t="s">
        <v>82</v>
      </c>
      <c r="G46" s="49">
        <f>D46</f>
        <v>2283.5</v>
      </c>
      <c r="H46" s="49">
        <f>D46*1.05</f>
        <v>2397.6750000000002</v>
      </c>
      <c r="I46" s="49">
        <f>G46*1.052</f>
        <v>2402.2420000000002</v>
      </c>
      <c r="J46" s="49">
        <f>H46*1.053</f>
        <v>2524.7517750000002</v>
      </c>
      <c r="K46" s="49">
        <f>I46*1.046</f>
        <v>2512.7451320000005</v>
      </c>
      <c r="L46" s="49">
        <f>J46*1.048</f>
        <v>2645.9398602000001</v>
      </c>
      <c r="M46" s="49">
        <f t="shared" ref="M46:V46" si="17">K46*1.046</f>
        <v>2628.3314080720006</v>
      </c>
      <c r="N46" s="49">
        <f t="shared" si="17"/>
        <v>2767.6530937692</v>
      </c>
      <c r="O46" s="49">
        <f t="shared" si="17"/>
        <v>2749.2346528433127</v>
      </c>
      <c r="P46" s="49">
        <f t="shared" si="17"/>
        <v>2894.9651360825833</v>
      </c>
      <c r="Q46" s="49">
        <f t="shared" si="17"/>
        <v>2875.699446874105</v>
      </c>
      <c r="R46" s="49">
        <f t="shared" si="17"/>
        <v>3028.1335323423823</v>
      </c>
      <c r="S46" s="49">
        <f t="shared" si="17"/>
        <v>3007.9816214303141</v>
      </c>
      <c r="T46" s="49">
        <f t="shared" si="17"/>
        <v>3167.4276748301322</v>
      </c>
      <c r="U46" s="49">
        <f t="shared" si="17"/>
        <v>3146.3487760161088</v>
      </c>
      <c r="V46" s="49">
        <f t="shared" si="17"/>
        <v>3313.1293478723182</v>
      </c>
    </row>
    <row r="47" spans="1:22" s="19" customFormat="1">
      <c r="A47" s="65"/>
      <c r="B47" s="3" t="s">
        <v>4</v>
      </c>
      <c r="C47" s="33"/>
      <c r="D47" s="33"/>
      <c r="E47" s="21"/>
      <c r="F47" s="21"/>
      <c r="G47" s="21"/>
      <c r="H47" s="21"/>
      <c r="I47" s="32">
        <f t="shared" ref="I47:V47" si="18">I46/G46</f>
        <v>1.052</v>
      </c>
      <c r="J47" s="32">
        <f t="shared" si="18"/>
        <v>1.0529999999999999</v>
      </c>
      <c r="K47" s="32">
        <f t="shared" si="18"/>
        <v>1.046</v>
      </c>
      <c r="L47" s="32">
        <f t="shared" si="18"/>
        <v>1.048</v>
      </c>
      <c r="M47" s="32">
        <f t="shared" si="18"/>
        <v>1.046</v>
      </c>
      <c r="N47" s="32">
        <f t="shared" si="18"/>
        <v>1.046</v>
      </c>
      <c r="O47" s="32">
        <f t="shared" si="18"/>
        <v>1.046</v>
      </c>
      <c r="P47" s="32">
        <f t="shared" si="18"/>
        <v>1.046</v>
      </c>
      <c r="Q47" s="32">
        <f t="shared" si="18"/>
        <v>1.046</v>
      </c>
      <c r="R47" s="32">
        <f t="shared" si="18"/>
        <v>1.046</v>
      </c>
      <c r="S47" s="32">
        <f t="shared" si="18"/>
        <v>1.046</v>
      </c>
      <c r="T47" s="32">
        <f t="shared" si="18"/>
        <v>1.046</v>
      </c>
      <c r="U47" s="32">
        <f t="shared" si="18"/>
        <v>1.046</v>
      </c>
      <c r="V47" s="32">
        <f t="shared" si="18"/>
        <v>1.046</v>
      </c>
    </row>
    <row r="48" spans="1:22" ht="69" customHeight="1">
      <c r="A48" s="65">
        <v>8</v>
      </c>
      <c r="B48" s="6" t="s">
        <v>57</v>
      </c>
      <c r="C48" s="24"/>
      <c r="D48" s="24">
        <v>3192.3</v>
      </c>
      <c r="E48" s="5">
        <v>3258.7</v>
      </c>
      <c r="F48" s="5">
        <f>E48</f>
        <v>3258.7</v>
      </c>
      <c r="G48" s="5">
        <v>3258.7</v>
      </c>
      <c r="H48" s="5">
        <v>3258.7</v>
      </c>
      <c r="I48" s="5">
        <v>3258.7179999999998</v>
      </c>
      <c r="J48" s="5">
        <v>3326.4993343999995</v>
      </c>
      <c r="K48" s="5">
        <v>3258.7179999999998</v>
      </c>
      <c r="L48" s="5">
        <v>3395.6905205555195</v>
      </c>
      <c r="M48" s="5">
        <v>3258.7179999999998</v>
      </c>
      <c r="N48" s="5">
        <v>3466.320883383074</v>
      </c>
      <c r="O48" s="5">
        <v>3258.7179999999998</v>
      </c>
      <c r="P48" s="5">
        <v>3538.4203577574417</v>
      </c>
      <c r="Q48" s="5">
        <v>3258.7179999999998</v>
      </c>
      <c r="R48" s="5">
        <v>3612.0195011987962</v>
      </c>
      <c r="S48" s="5">
        <v>3258.7179999999998</v>
      </c>
      <c r="T48" s="5">
        <v>3687.1495068237309</v>
      </c>
      <c r="U48" s="5">
        <v>3258.7179999999998</v>
      </c>
      <c r="V48" s="5">
        <v>3763.8422165656643</v>
      </c>
    </row>
    <row r="49" spans="1:22" s="19" customFormat="1">
      <c r="A49" s="65"/>
      <c r="B49" s="3" t="s">
        <v>4</v>
      </c>
      <c r="C49" s="33"/>
      <c r="D49" s="33"/>
      <c r="E49" s="21"/>
      <c r="F49" s="21"/>
      <c r="G49" s="21"/>
      <c r="H49" s="21"/>
      <c r="I49" s="32">
        <f t="shared" ref="I49:V49" si="19">I48/G48</f>
        <v>1.0000055236750851</v>
      </c>
      <c r="J49" s="32">
        <f t="shared" si="19"/>
        <v>1.0208056385675268</v>
      </c>
      <c r="K49" s="32">
        <f t="shared" si="19"/>
        <v>1</v>
      </c>
      <c r="L49" s="32">
        <f t="shared" si="19"/>
        <v>1.0207999999999999</v>
      </c>
      <c r="M49" s="32">
        <f t="shared" si="19"/>
        <v>1</v>
      </c>
      <c r="N49" s="32">
        <f t="shared" si="19"/>
        <v>1.0207999999999999</v>
      </c>
      <c r="O49" s="32">
        <f t="shared" si="19"/>
        <v>1</v>
      </c>
      <c r="P49" s="32">
        <f t="shared" si="19"/>
        <v>1.0207999999999999</v>
      </c>
      <c r="Q49" s="32">
        <f t="shared" si="19"/>
        <v>1</v>
      </c>
      <c r="R49" s="32">
        <f t="shared" si="19"/>
        <v>1.0207999999999999</v>
      </c>
      <c r="S49" s="32">
        <f t="shared" si="19"/>
        <v>1</v>
      </c>
      <c r="T49" s="32">
        <f t="shared" si="19"/>
        <v>1.0207999999999999</v>
      </c>
      <c r="U49" s="32">
        <f t="shared" si="19"/>
        <v>1</v>
      </c>
      <c r="V49" s="32">
        <f t="shared" si="19"/>
        <v>1.0207999999999999</v>
      </c>
    </row>
    <row r="50" spans="1:22" ht="31.5">
      <c r="A50" s="65">
        <v>9</v>
      </c>
      <c r="B50" s="6" t="s">
        <v>10</v>
      </c>
      <c r="C50" s="25">
        <v>4656</v>
      </c>
      <c r="D50" s="25">
        <v>4751</v>
      </c>
      <c r="E50" s="48">
        <f>D50</f>
        <v>4751</v>
      </c>
      <c r="F50" s="48">
        <f>E50</f>
        <v>4751</v>
      </c>
      <c r="G50" s="48">
        <f>D50</f>
        <v>4751</v>
      </c>
      <c r="H50" s="48">
        <f>D50*1.001</f>
        <v>4755.7509999999993</v>
      </c>
      <c r="I50" s="48">
        <f>G50*0.987</f>
        <v>4689.2370000000001</v>
      </c>
      <c r="J50" s="48">
        <f>H50*0.99</f>
        <v>4708.1934899999997</v>
      </c>
      <c r="K50" s="48">
        <f>I50*0.992</f>
        <v>4651.7231039999997</v>
      </c>
      <c r="L50" s="48">
        <f>J50*0.999</f>
        <v>4703.4852965099999</v>
      </c>
      <c r="M50" s="48">
        <f>K50*0.989</f>
        <v>4600.5541498559996</v>
      </c>
      <c r="N50" s="48">
        <f>L50*0.992</f>
        <v>4665.8574141379195</v>
      </c>
      <c r="O50" s="48">
        <f>M50*0.99</f>
        <v>4554.5486083574397</v>
      </c>
      <c r="P50" s="48">
        <f>N50*0.991</f>
        <v>4623.8646974106778</v>
      </c>
      <c r="Q50" s="48">
        <f>O50*0.99</f>
        <v>4509.0031222738653</v>
      </c>
      <c r="R50" s="48">
        <f>P50*0.992</f>
        <v>4586.8737798313923</v>
      </c>
      <c r="S50" s="48">
        <f>Q50*0.989</f>
        <v>4459.4040879288532</v>
      </c>
      <c r="T50" s="48">
        <f>R50*0.992</f>
        <v>4550.1787895927409</v>
      </c>
      <c r="U50" s="48">
        <f>S50*0.988</f>
        <v>4405.8912388737072</v>
      </c>
      <c r="V50" s="48">
        <f>T50*0.99</f>
        <v>4504.6770016968139</v>
      </c>
    </row>
    <row r="51" spans="1:22" s="19" customFormat="1">
      <c r="A51" s="65"/>
      <c r="B51" s="3" t="s">
        <v>4</v>
      </c>
      <c r="C51" s="33"/>
      <c r="D51" s="33"/>
      <c r="E51" s="21"/>
      <c r="F51" s="21"/>
      <c r="G51" s="21"/>
      <c r="H51" s="21"/>
      <c r="I51" s="32">
        <f t="shared" ref="I51:V51" si="20">I50/G50</f>
        <v>0.98699999999999999</v>
      </c>
      <c r="J51" s="32">
        <f t="shared" si="20"/>
        <v>0.9900000000000001</v>
      </c>
      <c r="K51" s="32">
        <f t="shared" si="20"/>
        <v>0.99199999999999988</v>
      </c>
      <c r="L51" s="32">
        <f t="shared" si="20"/>
        <v>0.999</v>
      </c>
      <c r="M51" s="32">
        <f t="shared" si="20"/>
        <v>0.98899999999999999</v>
      </c>
      <c r="N51" s="32">
        <f t="shared" si="20"/>
        <v>0.99199999999999988</v>
      </c>
      <c r="O51" s="32">
        <f t="shared" si="20"/>
        <v>0.99</v>
      </c>
      <c r="P51" s="32">
        <f t="shared" si="20"/>
        <v>0.99099999999999988</v>
      </c>
      <c r="Q51" s="32">
        <f t="shared" si="20"/>
        <v>0.99</v>
      </c>
      <c r="R51" s="32">
        <f t="shared" si="20"/>
        <v>0.99199999999999999</v>
      </c>
      <c r="S51" s="32">
        <f t="shared" si="20"/>
        <v>0.9890000000000001</v>
      </c>
      <c r="T51" s="32">
        <f t="shared" si="20"/>
        <v>0.99199999999999999</v>
      </c>
      <c r="U51" s="32">
        <f t="shared" si="20"/>
        <v>0.9880000000000001</v>
      </c>
      <c r="V51" s="32">
        <f t="shared" si="20"/>
        <v>0.9900000000000001</v>
      </c>
    </row>
    <row r="52" spans="1:22" ht="31.5">
      <c r="A52" s="65">
        <v>10</v>
      </c>
      <c r="B52" s="6" t="s">
        <v>68</v>
      </c>
      <c r="C52" s="25">
        <v>187</v>
      </c>
      <c r="D52" s="25">
        <v>192</v>
      </c>
      <c r="E52" s="48">
        <v>188</v>
      </c>
      <c r="F52" s="48">
        <f>E52</f>
        <v>188</v>
      </c>
      <c r="G52" s="48">
        <f>E52*0.993</f>
        <v>186.684</v>
      </c>
      <c r="H52" s="48">
        <f>E52*1.001</f>
        <v>188.18799999999999</v>
      </c>
      <c r="I52" s="48">
        <f>G52*0.987</f>
        <v>184.25710799999999</v>
      </c>
      <c r="J52" s="48">
        <f>H52*0.99</f>
        <v>186.30611999999999</v>
      </c>
      <c r="K52" s="48">
        <f>I52*0.992</f>
        <v>182.78305113599998</v>
      </c>
      <c r="L52" s="48">
        <f>J52*0.999</f>
        <v>186.11981387999998</v>
      </c>
      <c r="M52" s="48">
        <f>K52*0.989</f>
        <v>180.77243757350399</v>
      </c>
      <c r="N52" s="48">
        <f>L52*0.992</f>
        <v>184.63085536895997</v>
      </c>
      <c r="O52" s="48">
        <f>M52*0.99</f>
        <v>178.96471319776896</v>
      </c>
      <c r="P52" s="48">
        <f>N52*0.991</f>
        <v>182.96917767063934</v>
      </c>
      <c r="Q52" s="48">
        <f>O52*0.99</f>
        <v>177.17506606579127</v>
      </c>
      <c r="R52" s="48">
        <f>P52*0.992</f>
        <v>181.50542424927423</v>
      </c>
      <c r="S52" s="48">
        <f>Q52*0.989</f>
        <v>175.22614033906757</v>
      </c>
      <c r="T52" s="48">
        <f>R52*0.992</f>
        <v>180.05338085528004</v>
      </c>
      <c r="U52" s="48">
        <f>S52*0.988</f>
        <v>173.12342665499875</v>
      </c>
      <c r="V52" s="48">
        <f>T52*0.99</f>
        <v>178.25284704672723</v>
      </c>
    </row>
    <row r="53" spans="1:22" s="19" customFormat="1">
      <c r="A53" s="65"/>
      <c r="B53" s="3" t="s">
        <v>4</v>
      </c>
      <c r="C53" s="33"/>
      <c r="D53" s="33"/>
      <c r="E53" s="21"/>
      <c r="F53" s="21"/>
      <c r="G53" s="21"/>
      <c r="H53" s="21"/>
      <c r="I53" s="32">
        <f t="shared" ref="I53:V53" si="21">I52/G52</f>
        <v>0.98699999999999999</v>
      </c>
      <c r="J53" s="32">
        <f t="shared" si="21"/>
        <v>0.99</v>
      </c>
      <c r="K53" s="32">
        <f t="shared" si="21"/>
        <v>0.99199999999999999</v>
      </c>
      <c r="L53" s="32">
        <f t="shared" si="21"/>
        <v>0.99899999999999989</v>
      </c>
      <c r="M53" s="32">
        <f t="shared" si="21"/>
        <v>0.9890000000000001</v>
      </c>
      <c r="N53" s="32">
        <f t="shared" si="21"/>
        <v>0.99199999999999999</v>
      </c>
      <c r="O53" s="32">
        <f t="shared" si="21"/>
        <v>0.99</v>
      </c>
      <c r="P53" s="32">
        <f t="shared" si="21"/>
        <v>0.9910000000000001</v>
      </c>
      <c r="Q53" s="32">
        <f t="shared" si="21"/>
        <v>0.99</v>
      </c>
      <c r="R53" s="32">
        <f t="shared" si="21"/>
        <v>0.99199999999999999</v>
      </c>
      <c r="S53" s="32">
        <f t="shared" si="21"/>
        <v>0.98899999999999999</v>
      </c>
      <c r="T53" s="32">
        <f t="shared" si="21"/>
        <v>0.99199999999999999</v>
      </c>
      <c r="U53" s="32">
        <f t="shared" si="21"/>
        <v>0.98799999999999999</v>
      </c>
      <c r="V53" s="32">
        <f t="shared" si="21"/>
        <v>0.98999999999999988</v>
      </c>
    </row>
    <row r="54" spans="1:22" ht="31.5">
      <c r="A54" s="65">
        <v>11</v>
      </c>
      <c r="B54" s="6" t="s">
        <v>69</v>
      </c>
      <c r="C54" s="25">
        <v>125901.4</v>
      </c>
      <c r="D54" s="25">
        <v>129031.9</v>
      </c>
      <c r="E54" s="8" t="s">
        <v>82</v>
      </c>
      <c r="F54" s="8" t="s">
        <v>82</v>
      </c>
      <c r="G54" s="49">
        <f>D54*1.064</f>
        <v>137289.94159999999</v>
      </c>
      <c r="H54" s="49">
        <f>D54*1.053</f>
        <v>135870.59069999997</v>
      </c>
      <c r="I54" s="49">
        <f>G54*1.065</f>
        <v>146213.78780399999</v>
      </c>
      <c r="J54" s="49">
        <f>G54*1.071</f>
        <v>147037.52745359999</v>
      </c>
      <c r="K54" s="49">
        <f>I54*1.069</f>
        <v>156302.53916247599</v>
      </c>
      <c r="L54" s="49">
        <f>I54*1.094</f>
        <v>159957.883857576</v>
      </c>
      <c r="M54" s="49">
        <f>K54*1.071</f>
        <v>167400.01944301178</v>
      </c>
      <c r="N54" s="49">
        <f>K54*1.071</f>
        <v>167400.01944301178</v>
      </c>
      <c r="O54" s="49">
        <f>M54*1.07</f>
        <v>179118.02080402261</v>
      </c>
      <c r="P54" s="49">
        <f>M54*1.07</f>
        <v>179118.02080402261</v>
      </c>
      <c r="Q54" s="49">
        <f>O54*1.071</f>
        <v>191835.40028110822</v>
      </c>
      <c r="R54" s="49">
        <f>O54*1.029</f>
        <v>184312.44340733925</v>
      </c>
      <c r="S54" s="49">
        <f>Q54*1.067</f>
        <v>204688.37209994247</v>
      </c>
      <c r="T54" s="49">
        <f>Q54*1.111</f>
        <v>213129.12971231123</v>
      </c>
      <c r="U54" s="49">
        <f>S54*1.069</f>
        <v>218811.8697748385</v>
      </c>
      <c r="V54" s="49">
        <f>S54*1.069</f>
        <v>218811.8697748385</v>
      </c>
    </row>
    <row r="55" spans="1:22" s="19" customFormat="1">
      <c r="A55" s="65"/>
      <c r="B55" s="3" t="s">
        <v>4</v>
      </c>
      <c r="C55" s="33"/>
      <c r="D55" s="33"/>
      <c r="E55" s="21"/>
      <c r="F55" s="21"/>
      <c r="G55" s="21"/>
      <c r="H55" s="21"/>
      <c r="I55" s="32">
        <f t="shared" ref="I55:V55" si="22">I54/G54</f>
        <v>1.0649999999999999</v>
      </c>
      <c r="J55" s="32">
        <f t="shared" si="22"/>
        <v>1.0821880341880343</v>
      </c>
      <c r="K55" s="32">
        <f t="shared" si="22"/>
        <v>1.069</v>
      </c>
      <c r="L55" s="32">
        <f t="shared" si="22"/>
        <v>1.0878711484593839</v>
      </c>
      <c r="M55" s="32">
        <f t="shared" si="22"/>
        <v>1.071</v>
      </c>
      <c r="N55" s="32">
        <f t="shared" si="22"/>
        <v>1.0465255941499085</v>
      </c>
      <c r="O55" s="32">
        <f t="shared" si="22"/>
        <v>1.07</v>
      </c>
      <c r="P55" s="32">
        <f t="shared" si="22"/>
        <v>1.07</v>
      </c>
      <c r="Q55" s="32">
        <f t="shared" si="22"/>
        <v>1.071</v>
      </c>
      <c r="R55" s="32">
        <f t="shared" si="22"/>
        <v>1.0289999999999999</v>
      </c>
      <c r="S55" s="32">
        <f t="shared" si="22"/>
        <v>1.0669999999999999</v>
      </c>
      <c r="T55" s="32">
        <f t="shared" si="22"/>
        <v>1.1563469387755103</v>
      </c>
      <c r="U55" s="32">
        <f t="shared" si="22"/>
        <v>1.069</v>
      </c>
      <c r="V55" s="32">
        <f t="shared" si="22"/>
        <v>1.0266633663366336</v>
      </c>
    </row>
    <row r="56" spans="1:22" ht="30" customHeight="1">
      <c r="A56" s="65">
        <v>12</v>
      </c>
      <c r="B56" s="6" t="s">
        <v>84</v>
      </c>
      <c r="C56" s="26">
        <v>75.5</v>
      </c>
      <c r="D56" s="34">
        <v>83.6</v>
      </c>
      <c r="E56" s="8" t="s">
        <v>82</v>
      </c>
      <c r="F56" s="8" t="s">
        <v>82</v>
      </c>
      <c r="G56" s="49">
        <f>D56*1.064</f>
        <v>88.950400000000002</v>
      </c>
      <c r="H56" s="49">
        <f>D56*1.053</f>
        <v>88.030799999999985</v>
      </c>
      <c r="I56" s="49">
        <f>G56*1.065</f>
        <v>94.732175999999995</v>
      </c>
      <c r="J56" s="49">
        <f>G56*1.071</f>
        <v>95.265878399999991</v>
      </c>
      <c r="K56" s="49">
        <f>I56*1.069</f>
        <v>101.26869614399999</v>
      </c>
      <c r="L56" s="49">
        <f>I56*1.094</f>
        <v>103.637000544</v>
      </c>
      <c r="M56" s="49">
        <f>K56*1.071</f>
        <v>108.45877357022398</v>
      </c>
      <c r="N56" s="49">
        <f>K56*1.071</f>
        <v>108.45877357022398</v>
      </c>
      <c r="O56" s="49">
        <f>M56*1.07</f>
        <v>116.05088772013967</v>
      </c>
      <c r="P56" s="49">
        <f>M56*1.07</f>
        <v>116.05088772013967</v>
      </c>
      <c r="Q56" s="49">
        <f>O56*1.071</f>
        <v>124.29050074826958</v>
      </c>
      <c r="R56" s="49">
        <f>O56*1.029</f>
        <v>119.4163634640237</v>
      </c>
      <c r="S56" s="49">
        <f>Q56*1.067</f>
        <v>132.61796429840362</v>
      </c>
      <c r="T56" s="49">
        <f>Q56*1.111</f>
        <v>138.0867463313275</v>
      </c>
      <c r="U56" s="49">
        <f>S56*1.069</f>
        <v>141.76860383499346</v>
      </c>
      <c r="V56" s="49">
        <f>S56*1.069</f>
        <v>141.76860383499346</v>
      </c>
    </row>
    <row r="57" spans="1:22" s="19" customFormat="1">
      <c r="A57" s="65"/>
      <c r="B57" s="3" t="s">
        <v>4</v>
      </c>
      <c r="C57" s="21"/>
      <c r="D57" s="35"/>
      <c r="E57" s="21"/>
      <c r="F57" s="21"/>
      <c r="G57" s="21"/>
      <c r="H57" s="21"/>
      <c r="I57" s="32">
        <f t="shared" ref="I57:V57" si="23">I56/G56</f>
        <v>1.0649999999999999</v>
      </c>
      <c r="J57" s="32">
        <f t="shared" si="23"/>
        <v>1.0821880341880343</v>
      </c>
      <c r="K57" s="32">
        <f t="shared" si="23"/>
        <v>1.069</v>
      </c>
      <c r="L57" s="32">
        <f t="shared" si="23"/>
        <v>1.0878711484593839</v>
      </c>
      <c r="M57" s="32">
        <f t="shared" si="23"/>
        <v>1.071</v>
      </c>
      <c r="N57" s="32">
        <f t="shared" si="23"/>
        <v>1.0465255941499083</v>
      </c>
      <c r="O57" s="32">
        <f t="shared" si="23"/>
        <v>1.07</v>
      </c>
      <c r="P57" s="32">
        <f t="shared" si="23"/>
        <v>1.07</v>
      </c>
      <c r="Q57" s="32">
        <f t="shared" si="23"/>
        <v>1.071</v>
      </c>
      <c r="R57" s="32">
        <f t="shared" si="23"/>
        <v>1.0289999999999999</v>
      </c>
      <c r="S57" s="32">
        <f t="shared" si="23"/>
        <v>1.0669999999999997</v>
      </c>
      <c r="T57" s="32">
        <f t="shared" si="23"/>
        <v>1.1563469387755103</v>
      </c>
      <c r="U57" s="32">
        <f t="shared" si="23"/>
        <v>1.069</v>
      </c>
      <c r="V57" s="32">
        <f t="shared" si="23"/>
        <v>1.0266633663366334</v>
      </c>
    </row>
    <row r="58" spans="1:22">
      <c r="A58" s="27">
        <v>13</v>
      </c>
      <c r="B58" s="7" t="s">
        <v>11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>
      <c r="A59" s="62" t="s">
        <v>58</v>
      </c>
      <c r="B59" s="7" t="s">
        <v>12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31.5">
      <c r="A60" s="62"/>
      <c r="B60" s="1" t="s">
        <v>13</v>
      </c>
      <c r="C60" s="36"/>
      <c r="D60" s="36">
        <v>3</v>
      </c>
      <c r="E60" s="36">
        <v>3</v>
      </c>
      <c r="F60" s="36">
        <v>3</v>
      </c>
      <c r="G60" s="36">
        <v>3</v>
      </c>
      <c r="H60" s="36">
        <v>3</v>
      </c>
      <c r="I60" s="36">
        <v>3</v>
      </c>
      <c r="J60" s="36">
        <v>3</v>
      </c>
      <c r="K60" s="36">
        <v>3</v>
      </c>
      <c r="L60" s="36">
        <v>3</v>
      </c>
      <c r="M60" s="36">
        <v>3</v>
      </c>
      <c r="N60" s="36">
        <v>3</v>
      </c>
      <c r="O60" s="36">
        <v>3</v>
      </c>
      <c r="P60" s="36">
        <v>3</v>
      </c>
      <c r="Q60" s="36">
        <v>3</v>
      </c>
      <c r="R60" s="36">
        <v>3</v>
      </c>
      <c r="S60" s="36">
        <v>3</v>
      </c>
      <c r="T60" s="36">
        <v>3</v>
      </c>
      <c r="U60" s="36">
        <v>3</v>
      </c>
      <c r="V60" s="36">
        <v>3</v>
      </c>
    </row>
    <row r="61" spans="1:22" s="19" customFormat="1">
      <c r="A61" s="62"/>
      <c r="B61" s="3" t="s">
        <v>4</v>
      </c>
      <c r="C61" s="37"/>
      <c r="D61" s="37"/>
      <c r="E61" s="37"/>
      <c r="F61" s="37"/>
      <c r="G61" s="37"/>
      <c r="H61" s="37"/>
      <c r="I61" s="32">
        <f t="shared" ref="I61:V61" si="24">I60/G60</f>
        <v>1</v>
      </c>
      <c r="J61" s="32">
        <f t="shared" si="24"/>
        <v>1</v>
      </c>
      <c r="K61" s="32">
        <f t="shared" si="24"/>
        <v>1</v>
      </c>
      <c r="L61" s="32">
        <f t="shared" si="24"/>
        <v>1</v>
      </c>
      <c r="M61" s="32">
        <f t="shared" si="24"/>
        <v>1</v>
      </c>
      <c r="N61" s="32">
        <f t="shared" si="24"/>
        <v>1</v>
      </c>
      <c r="O61" s="32">
        <f t="shared" si="24"/>
        <v>1</v>
      </c>
      <c r="P61" s="32">
        <f t="shared" si="24"/>
        <v>1</v>
      </c>
      <c r="Q61" s="32">
        <f t="shared" si="24"/>
        <v>1</v>
      </c>
      <c r="R61" s="32">
        <f t="shared" si="24"/>
        <v>1</v>
      </c>
      <c r="S61" s="32">
        <f t="shared" si="24"/>
        <v>1</v>
      </c>
      <c r="T61" s="32">
        <f t="shared" si="24"/>
        <v>1</v>
      </c>
      <c r="U61" s="32">
        <f t="shared" si="24"/>
        <v>1</v>
      </c>
      <c r="V61" s="32">
        <f t="shared" si="24"/>
        <v>1</v>
      </c>
    </row>
    <row r="62" spans="1:22" ht="31.5">
      <c r="A62" s="62"/>
      <c r="B62" s="1" t="s">
        <v>14</v>
      </c>
      <c r="C62" s="36"/>
      <c r="D62" s="36">
        <v>336</v>
      </c>
      <c r="E62" s="36">
        <v>326</v>
      </c>
      <c r="F62" s="36">
        <v>336</v>
      </c>
      <c r="G62" s="36">
        <v>336</v>
      </c>
      <c r="H62" s="36">
        <v>336</v>
      </c>
      <c r="I62" s="36">
        <v>336</v>
      </c>
      <c r="J62" s="36">
        <v>336</v>
      </c>
      <c r="K62" s="36">
        <v>336</v>
      </c>
      <c r="L62" s="36">
        <v>336</v>
      </c>
      <c r="M62" s="36">
        <v>336</v>
      </c>
      <c r="N62" s="36">
        <v>336</v>
      </c>
      <c r="O62" s="36">
        <v>336</v>
      </c>
      <c r="P62" s="36">
        <v>336</v>
      </c>
      <c r="Q62" s="36">
        <v>336</v>
      </c>
      <c r="R62" s="36">
        <v>336</v>
      </c>
      <c r="S62" s="36">
        <v>336</v>
      </c>
      <c r="T62" s="36">
        <v>336</v>
      </c>
      <c r="U62" s="36">
        <v>336</v>
      </c>
      <c r="V62" s="36">
        <v>336</v>
      </c>
    </row>
    <row r="63" spans="1:22" s="19" customFormat="1">
      <c r="A63" s="62"/>
      <c r="B63" s="3" t="s">
        <v>4</v>
      </c>
      <c r="C63" s="37"/>
      <c r="D63" s="37"/>
      <c r="E63" s="37"/>
      <c r="F63" s="37"/>
      <c r="G63" s="37"/>
      <c r="H63" s="37"/>
      <c r="I63" s="32">
        <f t="shared" ref="I63:V63" si="25">I62/G62</f>
        <v>1</v>
      </c>
      <c r="J63" s="32">
        <f t="shared" si="25"/>
        <v>1</v>
      </c>
      <c r="K63" s="32">
        <f t="shared" si="25"/>
        <v>1</v>
      </c>
      <c r="L63" s="32">
        <f t="shared" si="25"/>
        <v>1</v>
      </c>
      <c r="M63" s="32">
        <f t="shared" si="25"/>
        <v>1</v>
      </c>
      <c r="N63" s="32">
        <f t="shared" si="25"/>
        <v>1</v>
      </c>
      <c r="O63" s="32">
        <f t="shared" si="25"/>
        <v>1</v>
      </c>
      <c r="P63" s="32">
        <f t="shared" si="25"/>
        <v>1</v>
      </c>
      <c r="Q63" s="32">
        <f t="shared" si="25"/>
        <v>1</v>
      </c>
      <c r="R63" s="32">
        <f t="shared" si="25"/>
        <v>1</v>
      </c>
      <c r="S63" s="32">
        <f t="shared" si="25"/>
        <v>1</v>
      </c>
      <c r="T63" s="32">
        <f t="shared" si="25"/>
        <v>1</v>
      </c>
      <c r="U63" s="32">
        <f t="shared" si="25"/>
        <v>1</v>
      </c>
      <c r="V63" s="32">
        <f t="shared" si="25"/>
        <v>1</v>
      </c>
    </row>
    <row r="64" spans="1:22" ht="31.5">
      <c r="A64" s="62"/>
      <c r="B64" s="1" t="s">
        <v>15</v>
      </c>
      <c r="C64" s="4"/>
      <c r="D64" s="4">
        <v>603</v>
      </c>
      <c r="E64" s="4">
        <v>603</v>
      </c>
      <c r="F64" s="4">
        <v>603</v>
      </c>
      <c r="G64" s="4">
        <v>603</v>
      </c>
      <c r="H64" s="4">
        <v>603</v>
      </c>
      <c r="I64" s="4">
        <v>603</v>
      </c>
      <c r="J64" s="4">
        <v>603</v>
      </c>
      <c r="K64" s="4">
        <v>603</v>
      </c>
      <c r="L64" s="4">
        <v>603</v>
      </c>
      <c r="M64" s="4">
        <v>603</v>
      </c>
      <c r="N64" s="4">
        <v>603</v>
      </c>
      <c r="O64" s="4">
        <v>603</v>
      </c>
      <c r="P64" s="4">
        <v>603</v>
      </c>
      <c r="Q64" s="4">
        <v>603</v>
      </c>
      <c r="R64" s="4">
        <v>603</v>
      </c>
      <c r="S64" s="4">
        <v>603</v>
      </c>
      <c r="T64" s="4">
        <v>603</v>
      </c>
      <c r="U64" s="4">
        <v>603</v>
      </c>
      <c r="V64" s="4">
        <v>603</v>
      </c>
    </row>
    <row r="65" spans="1:22" s="19" customFormat="1">
      <c r="A65" s="62"/>
      <c r="B65" s="3" t="s">
        <v>4</v>
      </c>
      <c r="C65" s="20"/>
      <c r="D65" s="20"/>
      <c r="E65" s="20"/>
      <c r="F65" s="20"/>
      <c r="G65" s="20"/>
      <c r="H65" s="20"/>
      <c r="I65" s="32">
        <f t="shared" ref="I65:V65" si="26">I64/G64</f>
        <v>1</v>
      </c>
      <c r="J65" s="32">
        <f t="shared" si="26"/>
        <v>1</v>
      </c>
      <c r="K65" s="32">
        <f t="shared" si="26"/>
        <v>1</v>
      </c>
      <c r="L65" s="32">
        <f t="shared" si="26"/>
        <v>1</v>
      </c>
      <c r="M65" s="32">
        <f t="shared" si="26"/>
        <v>1</v>
      </c>
      <c r="N65" s="32">
        <f t="shared" si="26"/>
        <v>1</v>
      </c>
      <c r="O65" s="32">
        <f t="shared" si="26"/>
        <v>1</v>
      </c>
      <c r="P65" s="32">
        <f t="shared" si="26"/>
        <v>1</v>
      </c>
      <c r="Q65" s="32">
        <f t="shared" si="26"/>
        <v>1</v>
      </c>
      <c r="R65" s="32">
        <f t="shared" si="26"/>
        <v>1</v>
      </c>
      <c r="S65" s="32">
        <f t="shared" si="26"/>
        <v>1</v>
      </c>
      <c r="T65" s="32">
        <f t="shared" si="26"/>
        <v>1</v>
      </c>
      <c r="U65" s="32">
        <f t="shared" si="26"/>
        <v>1</v>
      </c>
      <c r="V65" s="32">
        <f t="shared" si="26"/>
        <v>1</v>
      </c>
    </row>
    <row r="66" spans="1:22" ht="31.5">
      <c r="A66" s="62"/>
      <c r="B66" s="1" t="s">
        <v>16</v>
      </c>
      <c r="C66" s="4"/>
      <c r="D66" s="4">
        <v>4</v>
      </c>
      <c r="E66" s="4">
        <v>4</v>
      </c>
      <c r="F66" s="4">
        <v>4</v>
      </c>
      <c r="G66" s="4">
        <v>4</v>
      </c>
      <c r="H66" s="4">
        <v>4</v>
      </c>
      <c r="I66" s="4">
        <v>4</v>
      </c>
      <c r="J66" s="4">
        <v>4</v>
      </c>
      <c r="K66" s="4">
        <v>4</v>
      </c>
      <c r="L66" s="4">
        <v>4</v>
      </c>
      <c r="M66" s="4">
        <v>4</v>
      </c>
      <c r="N66" s="4">
        <v>4</v>
      </c>
      <c r="O66" s="4">
        <v>4</v>
      </c>
      <c r="P66" s="4">
        <v>4</v>
      </c>
      <c r="Q66" s="4">
        <v>4</v>
      </c>
      <c r="R66" s="4">
        <v>4</v>
      </c>
      <c r="S66" s="4">
        <v>4</v>
      </c>
      <c r="T66" s="4">
        <v>4</v>
      </c>
      <c r="U66" s="4">
        <v>4</v>
      </c>
      <c r="V66" s="4">
        <v>4</v>
      </c>
    </row>
    <row r="67" spans="1:22" s="19" customFormat="1">
      <c r="A67" s="62"/>
      <c r="B67" s="3" t="s">
        <v>4</v>
      </c>
      <c r="C67" s="20"/>
      <c r="D67" s="20"/>
      <c r="E67" s="20"/>
      <c r="F67" s="20"/>
      <c r="G67" s="20"/>
      <c r="H67" s="20"/>
      <c r="I67" s="32">
        <f t="shared" ref="I67:V67" si="27">I66/G66</f>
        <v>1</v>
      </c>
      <c r="J67" s="32">
        <f t="shared" si="27"/>
        <v>1</v>
      </c>
      <c r="K67" s="32">
        <f t="shared" si="27"/>
        <v>1</v>
      </c>
      <c r="L67" s="32">
        <f t="shared" si="27"/>
        <v>1</v>
      </c>
      <c r="M67" s="32">
        <f t="shared" si="27"/>
        <v>1</v>
      </c>
      <c r="N67" s="32">
        <f t="shared" si="27"/>
        <v>1</v>
      </c>
      <c r="O67" s="32">
        <f t="shared" si="27"/>
        <v>1</v>
      </c>
      <c r="P67" s="32">
        <f t="shared" si="27"/>
        <v>1</v>
      </c>
      <c r="Q67" s="32">
        <f t="shared" si="27"/>
        <v>1</v>
      </c>
      <c r="R67" s="32">
        <f t="shared" si="27"/>
        <v>1</v>
      </c>
      <c r="S67" s="32">
        <f t="shared" si="27"/>
        <v>1</v>
      </c>
      <c r="T67" s="32">
        <f t="shared" si="27"/>
        <v>1</v>
      </c>
      <c r="U67" s="32">
        <f t="shared" si="27"/>
        <v>1</v>
      </c>
      <c r="V67" s="32">
        <f t="shared" si="27"/>
        <v>1</v>
      </c>
    </row>
    <row r="68" spans="1:22" ht="31.5">
      <c r="A68" s="62"/>
      <c r="B68" s="1" t="s">
        <v>17</v>
      </c>
      <c r="C68" s="4"/>
      <c r="D68" s="4">
        <v>716</v>
      </c>
      <c r="E68" s="4">
        <v>675</v>
      </c>
      <c r="F68" s="4">
        <v>716</v>
      </c>
      <c r="G68" s="4">
        <v>716</v>
      </c>
      <c r="H68" s="4">
        <v>716</v>
      </c>
      <c r="I68" s="4">
        <v>716</v>
      </c>
      <c r="J68" s="4">
        <v>716</v>
      </c>
      <c r="K68" s="4">
        <v>716</v>
      </c>
      <c r="L68" s="4">
        <v>716</v>
      </c>
      <c r="M68" s="4">
        <v>716</v>
      </c>
      <c r="N68" s="4">
        <v>716</v>
      </c>
      <c r="O68" s="4">
        <v>716</v>
      </c>
      <c r="P68" s="4">
        <v>716</v>
      </c>
      <c r="Q68" s="4">
        <v>716</v>
      </c>
      <c r="R68" s="4">
        <v>716</v>
      </c>
      <c r="S68" s="4">
        <v>716</v>
      </c>
      <c r="T68" s="4">
        <v>716</v>
      </c>
      <c r="U68" s="4">
        <v>716</v>
      </c>
      <c r="V68" s="4">
        <v>716</v>
      </c>
    </row>
    <row r="69" spans="1:22" s="19" customFormat="1">
      <c r="A69" s="62"/>
      <c r="B69" s="3" t="s">
        <v>4</v>
      </c>
      <c r="C69" s="20"/>
      <c r="D69" s="20"/>
      <c r="E69" s="20"/>
      <c r="F69" s="20"/>
      <c r="G69" s="20"/>
      <c r="H69" s="20"/>
      <c r="I69" s="32">
        <f t="shared" ref="I69:V69" si="28">I68/G68</f>
        <v>1</v>
      </c>
      <c r="J69" s="32">
        <f t="shared" si="28"/>
        <v>1</v>
      </c>
      <c r="K69" s="32">
        <f t="shared" si="28"/>
        <v>1</v>
      </c>
      <c r="L69" s="32">
        <f t="shared" si="28"/>
        <v>1</v>
      </c>
      <c r="M69" s="32">
        <f t="shared" si="28"/>
        <v>1</v>
      </c>
      <c r="N69" s="32">
        <f t="shared" si="28"/>
        <v>1</v>
      </c>
      <c r="O69" s="32">
        <f t="shared" si="28"/>
        <v>1</v>
      </c>
      <c r="P69" s="32">
        <f t="shared" si="28"/>
        <v>1</v>
      </c>
      <c r="Q69" s="32">
        <f t="shared" si="28"/>
        <v>1</v>
      </c>
      <c r="R69" s="32">
        <f t="shared" si="28"/>
        <v>1</v>
      </c>
      <c r="S69" s="32">
        <f t="shared" si="28"/>
        <v>1</v>
      </c>
      <c r="T69" s="32">
        <f t="shared" si="28"/>
        <v>1</v>
      </c>
      <c r="U69" s="32">
        <f t="shared" si="28"/>
        <v>1</v>
      </c>
      <c r="V69" s="32">
        <f t="shared" si="28"/>
        <v>1</v>
      </c>
    </row>
    <row r="70" spans="1:22" ht="63">
      <c r="A70" s="62"/>
      <c r="B70" s="1" t="s">
        <v>18</v>
      </c>
      <c r="C70" s="5"/>
      <c r="D70" s="38">
        <v>100</v>
      </c>
      <c r="E70" s="38">
        <v>100</v>
      </c>
      <c r="F70" s="38">
        <v>100</v>
      </c>
      <c r="G70" s="38">
        <v>100</v>
      </c>
      <c r="H70" s="38">
        <v>100</v>
      </c>
      <c r="I70" s="38">
        <v>100</v>
      </c>
      <c r="J70" s="38">
        <v>100</v>
      </c>
      <c r="K70" s="38">
        <v>100</v>
      </c>
      <c r="L70" s="38">
        <v>100</v>
      </c>
      <c r="M70" s="38">
        <v>100</v>
      </c>
      <c r="N70" s="38">
        <v>100</v>
      </c>
      <c r="O70" s="38">
        <v>100</v>
      </c>
      <c r="P70" s="38">
        <v>100</v>
      </c>
      <c r="Q70" s="38">
        <v>100</v>
      </c>
      <c r="R70" s="38">
        <v>100</v>
      </c>
      <c r="S70" s="38">
        <v>100</v>
      </c>
      <c r="T70" s="38">
        <v>100</v>
      </c>
      <c r="U70" s="38">
        <v>100</v>
      </c>
      <c r="V70" s="38">
        <v>100</v>
      </c>
    </row>
    <row r="71" spans="1:22" s="19" customFormat="1">
      <c r="A71" s="62"/>
      <c r="B71" s="3" t="s">
        <v>4</v>
      </c>
      <c r="C71" s="21"/>
      <c r="D71" s="21"/>
      <c r="E71" s="21"/>
      <c r="F71" s="21"/>
      <c r="G71" s="21"/>
      <c r="H71" s="21"/>
      <c r="I71" s="32">
        <f t="shared" ref="I71:V71" si="29">I70/G70</f>
        <v>1</v>
      </c>
      <c r="J71" s="32">
        <f t="shared" si="29"/>
        <v>1</v>
      </c>
      <c r="K71" s="32">
        <f t="shared" si="29"/>
        <v>1</v>
      </c>
      <c r="L71" s="32">
        <f t="shared" si="29"/>
        <v>1</v>
      </c>
      <c r="M71" s="32">
        <f t="shared" si="29"/>
        <v>1</v>
      </c>
      <c r="N71" s="32">
        <f t="shared" si="29"/>
        <v>1</v>
      </c>
      <c r="O71" s="32">
        <f t="shared" si="29"/>
        <v>1</v>
      </c>
      <c r="P71" s="32">
        <f t="shared" si="29"/>
        <v>1</v>
      </c>
      <c r="Q71" s="32">
        <f t="shared" si="29"/>
        <v>1</v>
      </c>
      <c r="R71" s="32">
        <f t="shared" si="29"/>
        <v>1</v>
      </c>
      <c r="S71" s="32">
        <f t="shared" si="29"/>
        <v>1</v>
      </c>
      <c r="T71" s="32">
        <f t="shared" si="29"/>
        <v>1</v>
      </c>
      <c r="U71" s="32">
        <f t="shared" si="29"/>
        <v>1</v>
      </c>
      <c r="V71" s="32">
        <f t="shared" si="29"/>
        <v>1</v>
      </c>
    </row>
    <row r="72" spans="1:22">
      <c r="A72" s="62" t="s">
        <v>59</v>
      </c>
      <c r="B72" s="7" t="s">
        <v>19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>
      <c r="A73" s="62"/>
      <c r="B73" s="1" t="s">
        <v>20</v>
      </c>
      <c r="C73" s="4"/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</row>
    <row r="74" spans="1:22" s="19" customFormat="1">
      <c r="A74" s="62"/>
      <c r="B74" s="3" t="s">
        <v>4</v>
      </c>
      <c r="C74" s="20"/>
      <c r="D74" s="20"/>
      <c r="E74" s="20"/>
      <c r="F74" s="20"/>
      <c r="G74" s="20"/>
      <c r="H74" s="20"/>
      <c r="I74" s="32">
        <f t="shared" ref="I74:V74" si="30">I73/G73</f>
        <v>1</v>
      </c>
      <c r="J74" s="32">
        <f t="shared" si="30"/>
        <v>1</v>
      </c>
      <c r="K74" s="32">
        <f t="shared" si="30"/>
        <v>1</v>
      </c>
      <c r="L74" s="32">
        <f t="shared" si="30"/>
        <v>1</v>
      </c>
      <c r="M74" s="32">
        <f t="shared" si="30"/>
        <v>1</v>
      </c>
      <c r="N74" s="32">
        <f t="shared" si="30"/>
        <v>1</v>
      </c>
      <c r="O74" s="32">
        <f t="shared" si="30"/>
        <v>1</v>
      </c>
      <c r="P74" s="32">
        <f t="shared" si="30"/>
        <v>1</v>
      </c>
      <c r="Q74" s="32">
        <f t="shared" si="30"/>
        <v>1</v>
      </c>
      <c r="R74" s="32">
        <f t="shared" si="30"/>
        <v>1</v>
      </c>
      <c r="S74" s="32">
        <f t="shared" si="30"/>
        <v>1</v>
      </c>
      <c r="T74" s="32">
        <f t="shared" si="30"/>
        <v>1</v>
      </c>
      <c r="U74" s="32">
        <f t="shared" si="30"/>
        <v>1</v>
      </c>
      <c r="V74" s="32">
        <f t="shared" si="30"/>
        <v>1</v>
      </c>
    </row>
    <row r="75" spans="1:22">
      <c r="A75" s="62"/>
      <c r="B75" s="1" t="s">
        <v>21</v>
      </c>
      <c r="C75" s="4"/>
      <c r="D75" s="4">
        <v>84</v>
      </c>
      <c r="E75" s="4">
        <v>74</v>
      </c>
      <c r="F75" s="4">
        <v>74</v>
      </c>
      <c r="G75" s="27">
        <v>74</v>
      </c>
      <c r="H75" s="27">
        <v>74</v>
      </c>
      <c r="I75" s="4">
        <v>72</v>
      </c>
      <c r="J75" s="4">
        <v>74</v>
      </c>
      <c r="K75" s="4">
        <v>72</v>
      </c>
      <c r="L75" s="4">
        <v>74</v>
      </c>
      <c r="M75" s="4">
        <v>70</v>
      </c>
      <c r="N75" s="4">
        <v>72</v>
      </c>
      <c r="O75" s="30">
        <v>68</v>
      </c>
      <c r="P75" s="30">
        <v>72</v>
      </c>
      <c r="Q75" s="30">
        <v>65</v>
      </c>
      <c r="R75" s="30">
        <v>70</v>
      </c>
      <c r="S75" s="30">
        <v>62</v>
      </c>
      <c r="T75" s="30">
        <v>68</v>
      </c>
      <c r="U75" s="30">
        <v>60</v>
      </c>
      <c r="V75" s="30">
        <v>68</v>
      </c>
    </row>
    <row r="76" spans="1:22" s="19" customFormat="1">
      <c r="A76" s="62"/>
      <c r="B76" s="3" t="s">
        <v>4</v>
      </c>
      <c r="C76" s="20"/>
      <c r="D76" s="20"/>
      <c r="E76" s="20"/>
      <c r="F76" s="20"/>
      <c r="G76" s="20"/>
      <c r="H76" s="20"/>
      <c r="I76" s="32">
        <f t="shared" ref="I76:V76" si="31">I75/G75</f>
        <v>0.97297297297297303</v>
      </c>
      <c r="J76" s="32">
        <f t="shared" si="31"/>
        <v>1</v>
      </c>
      <c r="K76" s="32">
        <f t="shared" si="31"/>
        <v>1</v>
      </c>
      <c r="L76" s="32">
        <f t="shared" si="31"/>
        <v>1</v>
      </c>
      <c r="M76" s="32">
        <f t="shared" si="31"/>
        <v>0.97222222222222221</v>
      </c>
      <c r="N76" s="32">
        <f t="shared" si="31"/>
        <v>0.97297297297297303</v>
      </c>
      <c r="O76" s="32">
        <f t="shared" si="31"/>
        <v>0.97142857142857142</v>
      </c>
      <c r="P76" s="32">
        <f t="shared" si="31"/>
        <v>1</v>
      </c>
      <c r="Q76" s="32">
        <f t="shared" si="31"/>
        <v>0.95588235294117652</v>
      </c>
      <c r="R76" s="32">
        <f t="shared" si="31"/>
        <v>0.97222222222222221</v>
      </c>
      <c r="S76" s="32">
        <f t="shared" si="31"/>
        <v>0.9538461538461539</v>
      </c>
      <c r="T76" s="32">
        <f t="shared" si="31"/>
        <v>0.97142857142857142</v>
      </c>
      <c r="U76" s="32">
        <f t="shared" si="31"/>
        <v>0.967741935483871</v>
      </c>
      <c r="V76" s="32">
        <f t="shared" si="31"/>
        <v>1</v>
      </c>
    </row>
    <row r="77" spans="1:22" s="17" customFormat="1" ht="31.5">
      <c r="A77" s="62"/>
      <c r="B77" s="39" t="s">
        <v>22</v>
      </c>
      <c r="C77" s="40"/>
      <c r="D77" s="40">
        <v>130</v>
      </c>
      <c r="E77" s="40">
        <v>115</v>
      </c>
      <c r="F77" s="40">
        <v>115</v>
      </c>
      <c r="G77" s="40">
        <v>115</v>
      </c>
      <c r="H77" s="40">
        <v>115</v>
      </c>
      <c r="I77" s="40">
        <v>112</v>
      </c>
      <c r="J77" s="40">
        <v>115</v>
      </c>
      <c r="K77" s="40">
        <v>112</v>
      </c>
      <c r="L77" s="40">
        <v>115</v>
      </c>
      <c r="M77" s="40">
        <v>108</v>
      </c>
      <c r="N77" s="40">
        <v>112</v>
      </c>
      <c r="O77" s="40">
        <v>105</v>
      </c>
      <c r="P77" s="40">
        <v>112</v>
      </c>
      <c r="Q77" s="40">
        <v>101</v>
      </c>
      <c r="R77" s="40">
        <v>108</v>
      </c>
      <c r="S77" s="40">
        <v>96</v>
      </c>
      <c r="T77" s="40">
        <v>105</v>
      </c>
      <c r="U77" s="40">
        <v>93</v>
      </c>
      <c r="V77" s="40">
        <v>105</v>
      </c>
    </row>
    <row r="78" spans="1:22" s="19" customFormat="1">
      <c r="A78" s="62"/>
      <c r="B78" s="3" t="s">
        <v>4</v>
      </c>
      <c r="C78" s="20"/>
      <c r="D78" s="20"/>
      <c r="E78" s="20"/>
      <c r="F78" s="20"/>
      <c r="G78" s="20"/>
      <c r="H78" s="20"/>
      <c r="I78" s="32">
        <f t="shared" ref="I78:V78" si="32">I77/G77</f>
        <v>0.97391304347826091</v>
      </c>
      <c r="J78" s="32">
        <f t="shared" si="32"/>
        <v>1</v>
      </c>
      <c r="K78" s="32">
        <f t="shared" si="32"/>
        <v>1</v>
      </c>
      <c r="L78" s="32">
        <f t="shared" si="32"/>
        <v>1</v>
      </c>
      <c r="M78" s="32">
        <f t="shared" si="32"/>
        <v>0.9642857142857143</v>
      </c>
      <c r="N78" s="32">
        <f t="shared" si="32"/>
        <v>0.97391304347826091</v>
      </c>
      <c r="O78" s="32">
        <f t="shared" si="32"/>
        <v>0.97222222222222221</v>
      </c>
      <c r="P78" s="32">
        <f t="shared" si="32"/>
        <v>1</v>
      </c>
      <c r="Q78" s="32">
        <f t="shared" si="32"/>
        <v>0.96190476190476193</v>
      </c>
      <c r="R78" s="32">
        <f t="shared" si="32"/>
        <v>0.9642857142857143</v>
      </c>
      <c r="S78" s="32">
        <f t="shared" si="32"/>
        <v>0.95049504950495045</v>
      </c>
      <c r="T78" s="32">
        <f t="shared" si="32"/>
        <v>0.97222222222222221</v>
      </c>
      <c r="U78" s="32">
        <f t="shared" si="32"/>
        <v>0.96875</v>
      </c>
      <c r="V78" s="32">
        <f t="shared" si="32"/>
        <v>1</v>
      </c>
    </row>
    <row r="79" spans="1:22" s="17" customFormat="1">
      <c r="A79" s="62"/>
      <c r="B79" s="39" t="s">
        <v>23</v>
      </c>
      <c r="C79" s="40"/>
      <c r="D79" s="40">
        <v>38</v>
      </c>
      <c r="E79" s="40">
        <v>38</v>
      </c>
      <c r="F79" s="40">
        <v>38</v>
      </c>
      <c r="G79" s="40">
        <v>38</v>
      </c>
      <c r="H79" s="40">
        <v>38</v>
      </c>
      <c r="I79" s="40">
        <v>37</v>
      </c>
      <c r="J79" s="40">
        <v>38</v>
      </c>
      <c r="K79" s="40">
        <v>37</v>
      </c>
      <c r="L79" s="40">
        <v>38</v>
      </c>
      <c r="M79" s="40">
        <v>36</v>
      </c>
      <c r="N79" s="40">
        <v>38</v>
      </c>
      <c r="O79" s="40">
        <v>35</v>
      </c>
      <c r="P79" s="40">
        <v>38</v>
      </c>
      <c r="Q79" s="40">
        <v>34</v>
      </c>
      <c r="R79" s="40">
        <v>37</v>
      </c>
      <c r="S79" s="40">
        <v>33</v>
      </c>
      <c r="T79" s="40">
        <v>37</v>
      </c>
      <c r="U79" s="40">
        <v>32</v>
      </c>
      <c r="V79" s="40">
        <v>36</v>
      </c>
    </row>
    <row r="80" spans="1:22" s="19" customFormat="1">
      <c r="A80" s="62"/>
      <c r="B80" s="3" t="s">
        <v>4</v>
      </c>
      <c r="C80" s="20"/>
      <c r="D80" s="20"/>
      <c r="E80" s="20"/>
      <c r="F80" s="20"/>
      <c r="G80" s="20"/>
      <c r="H80" s="20"/>
      <c r="I80" s="32">
        <f t="shared" ref="I80:V80" si="33">I79/G79</f>
        <v>0.97368421052631582</v>
      </c>
      <c r="J80" s="32">
        <f t="shared" si="33"/>
        <v>1</v>
      </c>
      <c r="K80" s="32">
        <f t="shared" si="33"/>
        <v>1</v>
      </c>
      <c r="L80" s="32">
        <f t="shared" si="33"/>
        <v>1</v>
      </c>
      <c r="M80" s="32">
        <f t="shared" si="33"/>
        <v>0.97297297297297303</v>
      </c>
      <c r="N80" s="32">
        <f t="shared" si="33"/>
        <v>1</v>
      </c>
      <c r="O80" s="32">
        <f t="shared" si="33"/>
        <v>0.97222222222222221</v>
      </c>
      <c r="P80" s="32">
        <f t="shared" si="33"/>
        <v>1</v>
      </c>
      <c r="Q80" s="32">
        <f t="shared" si="33"/>
        <v>0.97142857142857142</v>
      </c>
      <c r="R80" s="32">
        <f t="shared" si="33"/>
        <v>0.97368421052631582</v>
      </c>
      <c r="S80" s="32">
        <f t="shared" si="33"/>
        <v>0.97058823529411764</v>
      </c>
      <c r="T80" s="32">
        <f t="shared" si="33"/>
        <v>1</v>
      </c>
      <c r="U80" s="32">
        <f t="shared" si="33"/>
        <v>0.96969696969696972</v>
      </c>
      <c r="V80" s="32">
        <f t="shared" si="33"/>
        <v>0.97297297297297303</v>
      </c>
    </row>
    <row r="81" spans="1:22" s="17" customFormat="1" ht="31.5">
      <c r="A81" s="62"/>
      <c r="B81" s="39" t="s">
        <v>24</v>
      </c>
      <c r="C81" s="40"/>
      <c r="D81" s="40">
        <v>113</v>
      </c>
      <c r="E81" s="40">
        <v>102</v>
      </c>
      <c r="F81" s="40">
        <v>102</v>
      </c>
      <c r="G81" s="40">
        <v>102</v>
      </c>
      <c r="H81" s="40">
        <v>102</v>
      </c>
      <c r="I81" s="40">
        <v>100</v>
      </c>
      <c r="J81" s="40">
        <v>102</v>
      </c>
      <c r="K81" s="40">
        <v>98</v>
      </c>
      <c r="L81" s="40">
        <v>100</v>
      </c>
      <c r="M81" s="40">
        <v>96</v>
      </c>
      <c r="N81" s="40">
        <v>100</v>
      </c>
      <c r="O81" s="40">
        <v>94</v>
      </c>
      <c r="P81" s="40">
        <v>98</v>
      </c>
      <c r="Q81" s="40">
        <v>94</v>
      </c>
      <c r="R81" s="40">
        <v>98</v>
      </c>
      <c r="S81" s="40">
        <v>92</v>
      </c>
      <c r="T81" s="40">
        <v>96</v>
      </c>
      <c r="U81" s="40">
        <v>90</v>
      </c>
      <c r="V81" s="40">
        <v>95</v>
      </c>
    </row>
    <row r="82" spans="1:22" s="19" customFormat="1">
      <c r="A82" s="62"/>
      <c r="B82" s="3" t="s">
        <v>4</v>
      </c>
      <c r="C82" s="20"/>
      <c r="D82" s="20"/>
      <c r="E82" s="20"/>
      <c r="F82" s="20"/>
      <c r="G82" s="20"/>
      <c r="H82" s="20"/>
      <c r="I82" s="32">
        <f t="shared" ref="I82:V82" si="34">I81/G81</f>
        <v>0.98039215686274506</v>
      </c>
      <c r="J82" s="32">
        <f t="shared" si="34"/>
        <v>1</v>
      </c>
      <c r="K82" s="32">
        <f t="shared" si="34"/>
        <v>0.98</v>
      </c>
      <c r="L82" s="32">
        <f t="shared" si="34"/>
        <v>0.98039215686274506</v>
      </c>
      <c r="M82" s="32">
        <f t="shared" si="34"/>
        <v>0.97959183673469385</v>
      </c>
      <c r="N82" s="32">
        <f t="shared" si="34"/>
        <v>1</v>
      </c>
      <c r="O82" s="32">
        <f t="shared" si="34"/>
        <v>0.97916666666666663</v>
      </c>
      <c r="P82" s="32">
        <f t="shared" si="34"/>
        <v>0.98</v>
      </c>
      <c r="Q82" s="32">
        <f t="shared" si="34"/>
        <v>1</v>
      </c>
      <c r="R82" s="32">
        <f t="shared" si="34"/>
        <v>1</v>
      </c>
      <c r="S82" s="32">
        <f t="shared" si="34"/>
        <v>0.97872340425531912</v>
      </c>
      <c r="T82" s="32">
        <f t="shared" si="34"/>
        <v>0.97959183673469385</v>
      </c>
      <c r="U82" s="32">
        <f t="shared" si="34"/>
        <v>0.97826086956521741</v>
      </c>
      <c r="V82" s="32">
        <f t="shared" si="34"/>
        <v>0.98958333333333337</v>
      </c>
    </row>
    <row r="83" spans="1:22">
      <c r="A83" s="63" t="s">
        <v>60</v>
      </c>
      <c r="B83" s="7" t="s">
        <v>25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1:22" ht="31.5">
      <c r="A84" s="63"/>
      <c r="B84" s="1" t="s">
        <v>26</v>
      </c>
      <c r="C84" s="4"/>
      <c r="D84" s="4">
        <v>8</v>
      </c>
      <c r="E84" s="4">
        <v>8</v>
      </c>
      <c r="F84" s="4">
        <v>8</v>
      </c>
      <c r="G84" s="4">
        <v>8</v>
      </c>
      <c r="H84" s="4">
        <v>8</v>
      </c>
      <c r="I84" s="4">
        <v>8</v>
      </c>
      <c r="J84" s="4">
        <v>8</v>
      </c>
      <c r="K84" s="4">
        <v>8</v>
      </c>
      <c r="L84" s="4">
        <v>8</v>
      </c>
      <c r="M84" s="4">
        <v>8</v>
      </c>
      <c r="N84" s="4">
        <v>8</v>
      </c>
      <c r="O84" s="4">
        <v>8</v>
      </c>
      <c r="P84" s="4">
        <v>8</v>
      </c>
      <c r="Q84" s="4">
        <v>8</v>
      </c>
      <c r="R84" s="4">
        <v>8</v>
      </c>
      <c r="S84" s="4">
        <v>8</v>
      </c>
      <c r="T84" s="4">
        <v>8</v>
      </c>
      <c r="U84" s="4">
        <v>8</v>
      </c>
      <c r="V84" s="4">
        <v>8</v>
      </c>
    </row>
    <row r="85" spans="1:22" s="19" customFormat="1">
      <c r="A85" s="63"/>
      <c r="B85" s="3" t="s">
        <v>4</v>
      </c>
      <c r="C85" s="20"/>
      <c r="D85" s="20"/>
      <c r="E85" s="20"/>
      <c r="F85" s="20"/>
      <c r="G85" s="20"/>
      <c r="H85" s="20"/>
      <c r="I85" s="32">
        <f t="shared" ref="I85:V85" si="35">I84/G84</f>
        <v>1</v>
      </c>
      <c r="J85" s="32">
        <f t="shared" si="35"/>
        <v>1</v>
      </c>
      <c r="K85" s="32">
        <f t="shared" si="35"/>
        <v>1</v>
      </c>
      <c r="L85" s="32">
        <f t="shared" si="35"/>
        <v>1</v>
      </c>
      <c r="M85" s="32">
        <f t="shared" si="35"/>
        <v>1</v>
      </c>
      <c r="N85" s="32">
        <f t="shared" si="35"/>
        <v>1</v>
      </c>
      <c r="O85" s="32">
        <f t="shared" si="35"/>
        <v>1</v>
      </c>
      <c r="P85" s="32">
        <f t="shared" si="35"/>
        <v>1</v>
      </c>
      <c r="Q85" s="32">
        <f t="shared" si="35"/>
        <v>1</v>
      </c>
      <c r="R85" s="32">
        <f t="shared" si="35"/>
        <v>1</v>
      </c>
      <c r="S85" s="32">
        <f t="shared" si="35"/>
        <v>1</v>
      </c>
      <c r="T85" s="32">
        <f t="shared" si="35"/>
        <v>1</v>
      </c>
      <c r="U85" s="32">
        <f t="shared" si="35"/>
        <v>1</v>
      </c>
      <c r="V85" s="32">
        <f t="shared" si="35"/>
        <v>1</v>
      </c>
    </row>
    <row r="86" spans="1:22">
      <c r="A86" s="27">
        <v>14</v>
      </c>
      <c r="B86" s="7" t="s">
        <v>64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4" customFormat="1">
      <c r="A87" s="61" t="s">
        <v>61</v>
      </c>
      <c r="B87" s="53" t="s">
        <v>27</v>
      </c>
      <c r="C87" s="43"/>
      <c r="D87" s="13">
        <v>1249776</v>
      </c>
      <c r="E87" s="13">
        <f>E89+E91</f>
        <v>663785.50624999998</v>
      </c>
      <c r="F87" s="13">
        <f>F89+F91</f>
        <v>908864.47817999998</v>
      </c>
      <c r="G87" s="43">
        <v>1194287.47</v>
      </c>
      <c r="H87" s="43">
        <f>G87</f>
        <v>1194287.47</v>
      </c>
      <c r="I87" s="43">
        <v>1116222</v>
      </c>
      <c r="J87" s="43">
        <v>1116222</v>
      </c>
      <c r="K87" s="43">
        <v>1131623</v>
      </c>
      <c r="L87" s="43">
        <v>1131623</v>
      </c>
      <c r="M87" s="43">
        <v>1176887.92</v>
      </c>
      <c r="N87" s="43">
        <v>1176887.92</v>
      </c>
      <c r="O87" s="43">
        <v>1223963.4368</v>
      </c>
      <c r="P87" s="43">
        <v>1223963.4368</v>
      </c>
      <c r="Q87" s="43">
        <v>1272921.9742720001</v>
      </c>
      <c r="R87" s="43">
        <v>1272921.9742720001</v>
      </c>
      <c r="S87" s="43">
        <v>1323838.85324288</v>
      </c>
      <c r="T87" s="43">
        <v>1323838.85324288</v>
      </c>
      <c r="U87" s="43">
        <v>1376792.4073725953</v>
      </c>
      <c r="V87" s="43">
        <v>1376792.4073725953</v>
      </c>
    </row>
    <row r="88" spans="1:22" s="14" customFormat="1">
      <c r="A88" s="61"/>
      <c r="B88" s="54" t="s">
        <v>28</v>
      </c>
      <c r="C88" s="15"/>
      <c r="D88" s="15"/>
      <c r="E88" s="15"/>
      <c r="F88" s="58"/>
      <c r="G88" s="15"/>
      <c r="H88" s="15"/>
      <c r="I88" s="15"/>
      <c r="J88" s="15"/>
      <c r="K88" s="15"/>
      <c r="L88" s="15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s="14" customFormat="1">
      <c r="A89" s="61"/>
      <c r="B89" s="54" t="s">
        <v>29</v>
      </c>
      <c r="C89" s="15"/>
      <c r="D89" s="15">
        <v>325194</v>
      </c>
      <c r="E89" s="15">
        <v>111966.38588</v>
      </c>
      <c r="F89" s="15">
        <v>205075.29194</v>
      </c>
      <c r="G89" s="46">
        <f>G87-G91</f>
        <v>372428.69999999995</v>
      </c>
      <c r="H89" s="15">
        <f>G89</f>
        <v>372428.69999999995</v>
      </c>
      <c r="I89" s="46">
        <v>397609</v>
      </c>
      <c r="J89" s="15">
        <f t="shared" ref="J89" si="36">I89</f>
        <v>397609</v>
      </c>
      <c r="K89" s="46">
        <v>421906</v>
      </c>
      <c r="L89" s="15">
        <f t="shared" ref="L89" si="37">K89</f>
        <v>421906</v>
      </c>
      <c r="M89" s="15">
        <f>K89+(K89*4%)</f>
        <v>438782.24</v>
      </c>
      <c r="N89" s="15">
        <f>M89</f>
        <v>438782.24</v>
      </c>
      <c r="O89" s="15">
        <f>M89+(M89*4%)</f>
        <v>456333.52960000001</v>
      </c>
      <c r="P89" s="15">
        <f>O89</f>
        <v>456333.52960000001</v>
      </c>
      <c r="Q89" s="15">
        <f>O89+(O89*4%)</f>
        <v>474586.87078400003</v>
      </c>
      <c r="R89" s="15">
        <f t="shared" ref="R89" si="38">Q89</f>
        <v>474586.87078400003</v>
      </c>
      <c r="S89" s="15">
        <f>Q89+(Q89*4%)</f>
        <v>493570.34561536001</v>
      </c>
      <c r="T89" s="15">
        <f t="shared" ref="T89" si="39">S89</f>
        <v>493570.34561536001</v>
      </c>
      <c r="U89" s="15">
        <f>S89+(S89*4%)</f>
        <v>513313.15943997441</v>
      </c>
      <c r="V89" s="15">
        <f>U89</f>
        <v>513313.15943997441</v>
      </c>
    </row>
    <row r="90" spans="1:22" s="23" customFormat="1">
      <c r="A90" s="61"/>
      <c r="B90" s="55" t="s">
        <v>4</v>
      </c>
      <c r="C90" s="22"/>
      <c r="D90" s="22"/>
      <c r="E90" s="22"/>
      <c r="F90" s="22"/>
      <c r="G90" s="47"/>
      <c r="H90" s="22"/>
      <c r="I90" s="32">
        <f t="shared" ref="I90:V90" si="40">I89/G89</f>
        <v>1.0676110621979458</v>
      </c>
      <c r="J90" s="32">
        <f t="shared" si="40"/>
        <v>1.0676110621979458</v>
      </c>
      <c r="K90" s="32">
        <f t="shared" si="40"/>
        <v>1.0611077717053687</v>
      </c>
      <c r="L90" s="32">
        <f t="shared" si="40"/>
        <v>1.0611077717053687</v>
      </c>
      <c r="M90" s="32">
        <f t="shared" si="40"/>
        <v>1.04</v>
      </c>
      <c r="N90" s="32">
        <f t="shared" si="40"/>
        <v>1.04</v>
      </c>
      <c r="O90" s="32">
        <f t="shared" si="40"/>
        <v>1.04</v>
      </c>
      <c r="P90" s="32">
        <f t="shared" si="40"/>
        <v>1.04</v>
      </c>
      <c r="Q90" s="32">
        <f t="shared" si="40"/>
        <v>1.04</v>
      </c>
      <c r="R90" s="32">
        <f t="shared" si="40"/>
        <v>1.04</v>
      </c>
      <c r="S90" s="32">
        <f t="shared" si="40"/>
        <v>1.04</v>
      </c>
      <c r="T90" s="32">
        <f t="shared" si="40"/>
        <v>1.04</v>
      </c>
      <c r="U90" s="32">
        <f t="shared" si="40"/>
        <v>1.04</v>
      </c>
      <c r="V90" s="32">
        <f t="shared" si="40"/>
        <v>1.04</v>
      </c>
    </row>
    <row r="91" spans="1:22" s="14" customFormat="1">
      <c r="A91" s="61"/>
      <c r="B91" s="54" t="s">
        <v>30</v>
      </c>
      <c r="C91" s="15"/>
      <c r="D91" s="15">
        <v>924582</v>
      </c>
      <c r="E91" s="15">
        <v>551819.12037000002</v>
      </c>
      <c r="F91" s="15">
        <v>703789.18623999995</v>
      </c>
      <c r="G91" s="15">
        <v>821858.77</v>
      </c>
      <c r="H91" s="15">
        <f>G91</f>
        <v>821858.77</v>
      </c>
      <c r="I91" s="15">
        <v>718613</v>
      </c>
      <c r="J91" s="15">
        <f t="shared" ref="J91" si="41">I91</f>
        <v>718613</v>
      </c>
      <c r="K91" s="15">
        <v>709717</v>
      </c>
      <c r="L91" s="15">
        <f t="shared" ref="L91" si="42">K91</f>
        <v>709717</v>
      </c>
      <c r="M91" s="15">
        <f>K91+(K91*4%)</f>
        <v>738105.68</v>
      </c>
      <c r="N91" s="15">
        <f t="shared" ref="N91" si="43">M91</f>
        <v>738105.68</v>
      </c>
      <c r="O91" s="15">
        <f t="shared" ref="O91" si="44">M91+(M91*4%)</f>
        <v>767629.90720000002</v>
      </c>
      <c r="P91" s="15">
        <f t="shared" ref="P91" si="45">O91</f>
        <v>767629.90720000002</v>
      </c>
      <c r="Q91" s="15">
        <f t="shared" ref="Q91" si="46">O91+(O91*4%)</f>
        <v>798335.10348799999</v>
      </c>
      <c r="R91" s="15">
        <f t="shared" ref="R91" si="47">Q91</f>
        <v>798335.10348799999</v>
      </c>
      <c r="S91" s="15">
        <f t="shared" ref="S91" si="48">Q91+(Q91*4%)</f>
        <v>830268.50762752001</v>
      </c>
      <c r="T91" s="15">
        <f t="shared" ref="T91" si="49">S91</f>
        <v>830268.50762752001</v>
      </c>
      <c r="U91" s="15">
        <f t="shared" ref="U91" si="50">S91+(S91*4%)</f>
        <v>863479.24793262081</v>
      </c>
      <c r="V91" s="15">
        <f t="shared" ref="V91" si="51">U91</f>
        <v>863479.24793262081</v>
      </c>
    </row>
    <row r="92" spans="1:22" s="23" customFormat="1">
      <c r="A92" s="61"/>
      <c r="B92" s="55" t="s">
        <v>4</v>
      </c>
      <c r="C92" s="22"/>
      <c r="D92" s="22"/>
      <c r="E92" s="22"/>
      <c r="F92" s="22"/>
      <c r="G92" s="22"/>
      <c r="H92" s="22"/>
      <c r="I92" s="32">
        <f t="shared" ref="I92:V92" si="52">I91/G91</f>
        <v>0.87437528956465349</v>
      </c>
      <c r="J92" s="32">
        <f t="shared" si="52"/>
        <v>0.87437528956465349</v>
      </c>
      <c r="K92" s="32">
        <f t="shared" si="52"/>
        <v>0.98762059689986126</v>
      </c>
      <c r="L92" s="32">
        <f t="shared" si="52"/>
        <v>0.98762059689986126</v>
      </c>
      <c r="M92" s="32">
        <f t="shared" si="52"/>
        <v>1.04</v>
      </c>
      <c r="N92" s="32">
        <f t="shared" si="52"/>
        <v>1.04</v>
      </c>
      <c r="O92" s="32">
        <f t="shared" si="52"/>
        <v>1.04</v>
      </c>
      <c r="P92" s="32">
        <f t="shared" si="52"/>
        <v>1.04</v>
      </c>
      <c r="Q92" s="32">
        <f t="shared" si="52"/>
        <v>1.04</v>
      </c>
      <c r="R92" s="32">
        <f t="shared" si="52"/>
        <v>1.04</v>
      </c>
      <c r="S92" s="32">
        <f t="shared" si="52"/>
        <v>1.04</v>
      </c>
      <c r="T92" s="32">
        <f t="shared" si="52"/>
        <v>1.04</v>
      </c>
      <c r="U92" s="32">
        <f t="shared" si="52"/>
        <v>1.04</v>
      </c>
      <c r="V92" s="32">
        <f t="shared" si="52"/>
        <v>1.04</v>
      </c>
    </row>
    <row r="93" spans="1:22" s="14" customFormat="1">
      <c r="A93" s="61"/>
      <c r="B93" s="54" t="s">
        <v>31</v>
      </c>
      <c r="C93" s="15"/>
      <c r="D93" s="15">
        <v>419965</v>
      </c>
      <c r="E93" s="15">
        <v>331582</v>
      </c>
      <c r="F93" s="15">
        <v>383534</v>
      </c>
      <c r="G93" s="15">
        <v>350232</v>
      </c>
      <c r="H93" s="15">
        <f>G93</f>
        <v>350232</v>
      </c>
      <c r="I93" s="15">
        <v>298275</v>
      </c>
      <c r="J93" s="15">
        <f t="shared" ref="J93" si="53">I93</f>
        <v>298275</v>
      </c>
      <c r="K93" s="15">
        <v>278772</v>
      </c>
      <c r="L93" s="15">
        <f t="shared" ref="L93" si="54">K93</f>
        <v>278772</v>
      </c>
      <c r="M93" s="15">
        <f>K93+(K93*4%)</f>
        <v>289922.88</v>
      </c>
      <c r="N93" s="15">
        <f t="shared" ref="N93" si="55">M93</f>
        <v>289922.88</v>
      </c>
      <c r="O93" s="15">
        <f t="shared" ref="O93" si="56">M93+(M93*4%)</f>
        <v>301519.79519999999</v>
      </c>
      <c r="P93" s="15">
        <f t="shared" ref="P93" si="57">O93</f>
        <v>301519.79519999999</v>
      </c>
      <c r="Q93" s="15">
        <f t="shared" ref="Q93" si="58">O93+(O93*4%)</f>
        <v>313580.587008</v>
      </c>
      <c r="R93" s="15">
        <f t="shared" ref="R93" si="59">Q93</f>
        <v>313580.587008</v>
      </c>
      <c r="S93" s="15">
        <f t="shared" ref="S93" si="60">Q93+(Q93*4%)</f>
        <v>326123.81048832001</v>
      </c>
      <c r="T93" s="15">
        <f t="shared" ref="T93" si="61">S93</f>
        <v>326123.81048832001</v>
      </c>
      <c r="U93" s="15">
        <f t="shared" ref="U93" si="62">S93+(S93*4%)</f>
        <v>339168.76290785283</v>
      </c>
      <c r="V93" s="15">
        <f t="shared" ref="V93" si="63">U93</f>
        <v>339168.76290785283</v>
      </c>
    </row>
    <row r="94" spans="1:22" s="23" customFormat="1">
      <c r="A94" s="61"/>
      <c r="B94" s="55" t="s">
        <v>4</v>
      </c>
      <c r="C94" s="22"/>
      <c r="D94" s="22"/>
      <c r="E94" s="22"/>
      <c r="F94" s="22"/>
      <c r="G94" s="22"/>
      <c r="H94" s="22"/>
      <c r="I94" s="32">
        <f t="shared" ref="I94:V94" si="64">I93/G93</f>
        <v>0.85164976358528066</v>
      </c>
      <c r="J94" s="32">
        <f t="shared" si="64"/>
        <v>0.85164976358528066</v>
      </c>
      <c r="K94" s="32">
        <f t="shared" si="64"/>
        <v>0.93461403067638926</v>
      </c>
      <c r="L94" s="32">
        <f t="shared" si="64"/>
        <v>0.93461403067638926</v>
      </c>
      <c r="M94" s="32">
        <f t="shared" si="64"/>
        <v>1.04</v>
      </c>
      <c r="N94" s="32">
        <f t="shared" si="64"/>
        <v>1.04</v>
      </c>
      <c r="O94" s="32">
        <f t="shared" si="64"/>
        <v>1.04</v>
      </c>
      <c r="P94" s="32">
        <f t="shared" si="64"/>
        <v>1.04</v>
      </c>
      <c r="Q94" s="32">
        <f t="shared" si="64"/>
        <v>1.04</v>
      </c>
      <c r="R94" s="32">
        <f t="shared" si="64"/>
        <v>1.04</v>
      </c>
      <c r="S94" s="32">
        <f t="shared" si="64"/>
        <v>1.04</v>
      </c>
      <c r="T94" s="32">
        <f t="shared" si="64"/>
        <v>1.04</v>
      </c>
      <c r="U94" s="32">
        <f t="shared" si="64"/>
        <v>1.04</v>
      </c>
      <c r="V94" s="32">
        <f t="shared" si="64"/>
        <v>1.04</v>
      </c>
    </row>
    <row r="95" spans="1:22" s="14" customFormat="1">
      <c r="A95" s="61"/>
      <c r="B95" s="54" t="s">
        <v>32</v>
      </c>
      <c r="C95" s="15"/>
      <c r="D95" s="15">
        <v>315855</v>
      </c>
      <c r="E95" s="15">
        <v>183403.52069</v>
      </c>
      <c r="F95" s="15">
        <v>236938.65719</v>
      </c>
      <c r="G95" s="15">
        <v>373834.86</v>
      </c>
      <c r="H95" s="15">
        <f>G95</f>
        <v>373834.86</v>
      </c>
      <c r="I95" s="15">
        <v>374266</v>
      </c>
      <c r="J95" s="15">
        <f t="shared" ref="J95" si="65">I95</f>
        <v>374266</v>
      </c>
      <c r="K95" s="15">
        <v>395713</v>
      </c>
      <c r="L95" s="15">
        <f t="shared" ref="L95" si="66">K95</f>
        <v>395713</v>
      </c>
      <c r="M95" s="15">
        <f>K95+(K95*4%)</f>
        <v>411541.52</v>
      </c>
      <c r="N95" s="15">
        <f t="shared" ref="N95" si="67">M95</f>
        <v>411541.52</v>
      </c>
      <c r="O95" s="15">
        <f t="shared" ref="O95" si="68">M95+(M95*4%)</f>
        <v>428003.18080000003</v>
      </c>
      <c r="P95" s="15">
        <f t="shared" ref="P95" si="69">O95</f>
        <v>428003.18080000003</v>
      </c>
      <c r="Q95" s="15">
        <f t="shared" ref="Q95" si="70">O95+(O95*4%)</f>
        <v>445123.30803200003</v>
      </c>
      <c r="R95" s="15">
        <f t="shared" ref="R95" si="71">Q95</f>
        <v>445123.30803200003</v>
      </c>
      <c r="S95" s="15">
        <f t="shared" ref="S95" si="72">Q95+(Q95*4%)</f>
        <v>462928.24035328004</v>
      </c>
      <c r="T95" s="15">
        <f t="shared" ref="T95" si="73">S95</f>
        <v>462928.24035328004</v>
      </c>
      <c r="U95" s="15">
        <f t="shared" ref="U95" si="74">S95+(S95*4%)</f>
        <v>481445.36996741121</v>
      </c>
      <c r="V95" s="15">
        <f t="shared" ref="V95" si="75">U95</f>
        <v>481445.36996741121</v>
      </c>
    </row>
    <row r="96" spans="1:22" s="23" customFormat="1">
      <c r="A96" s="61"/>
      <c r="B96" s="55" t="s">
        <v>4</v>
      </c>
      <c r="C96" s="22"/>
      <c r="D96" s="22"/>
      <c r="E96" s="22"/>
      <c r="F96" s="22"/>
      <c r="G96" s="22"/>
      <c r="H96" s="22"/>
      <c r="I96" s="32">
        <f t="shared" ref="I96:V96" si="76">I95/G95</f>
        <v>1.001153289984781</v>
      </c>
      <c r="J96" s="32">
        <f t="shared" si="76"/>
        <v>1.001153289984781</v>
      </c>
      <c r="K96" s="32">
        <f t="shared" si="76"/>
        <v>1.0573041633490619</v>
      </c>
      <c r="L96" s="32">
        <f t="shared" si="76"/>
        <v>1.0573041633490619</v>
      </c>
      <c r="M96" s="32">
        <f t="shared" si="76"/>
        <v>1.04</v>
      </c>
      <c r="N96" s="32">
        <f t="shared" si="76"/>
        <v>1.04</v>
      </c>
      <c r="O96" s="32">
        <f t="shared" si="76"/>
        <v>1.04</v>
      </c>
      <c r="P96" s="32">
        <f t="shared" si="76"/>
        <v>1.04</v>
      </c>
      <c r="Q96" s="32">
        <f t="shared" si="76"/>
        <v>1.04</v>
      </c>
      <c r="R96" s="32">
        <f t="shared" si="76"/>
        <v>1.04</v>
      </c>
      <c r="S96" s="32">
        <f t="shared" si="76"/>
        <v>1.04</v>
      </c>
      <c r="T96" s="32">
        <f t="shared" si="76"/>
        <v>1.04</v>
      </c>
      <c r="U96" s="32">
        <f t="shared" si="76"/>
        <v>1.04</v>
      </c>
      <c r="V96" s="32">
        <f t="shared" si="76"/>
        <v>1.04</v>
      </c>
    </row>
    <row r="97" spans="1:22" s="14" customFormat="1">
      <c r="A97" s="61"/>
      <c r="B97" s="54" t="s">
        <v>33</v>
      </c>
      <c r="C97" s="15"/>
      <c r="D97" s="15">
        <v>0</v>
      </c>
      <c r="E97" s="15">
        <v>0</v>
      </c>
      <c r="F97" s="58"/>
      <c r="G97" s="15">
        <v>0</v>
      </c>
      <c r="H97" s="15">
        <f>G97</f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</row>
    <row r="98" spans="1:22" s="23" customFormat="1">
      <c r="A98" s="61"/>
      <c r="B98" s="55" t="s">
        <v>4</v>
      </c>
      <c r="C98" s="22"/>
      <c r="D98" s="22"/>
      <c r="E98" s="22"/>
      <c r="F98" s="59"/>
      <c r="G98" s="22"/>
      <c r="H98" s="2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s="14" customFormat="1">
      <c r="A99" s="61"/>
      <c r="B99" s="54" t="s">
        <v>34</v>
      </c>
      <c r="C99" s="15"/>
      <c r="D99" s="15">
        <v>77258</v>
      </c>
      <c r="E99" s="15">
        <v>28625.92265</v>
      </c>
      <c r="F99" s="15">
        <v>70026.327279999998</v>
      </c>
      <c r="G99" s="15">
        <v>88417.52</v>
      </c>
      <c r="H99" s="15">
        <f>G99</f>
        <v>88417.52</v>
      </c>
      <c r="I99" s="15">
        <v>35145</v>
      </c>
      <c r="J99" s="15">
        <f t="shared" ref="J99" si="77">I99</f>
        <v>35145</v>
      </c>
      <c r="K99" s="15">
        <v>24305</v>
      </c>
      <c r="L99" s="15">
        <f t="shared" ref="L99" si="78">K99</f>
        <v>24305</v>
      </c>
      <c r="M99" s="15">
        <f>K99+(K99*4%)</f>
        <v>25277.200000000001</v>
      </c>
      <c r="N99" s="15">
        <f t="shared" ref="N99" si="79">M99</f>
        <v>25277.200000000001</v>
      </c>
      <c r="O99" s="15">
        <f t="shared" ref="O99" si="80">M99+(M99*4%)</f>
        <v>26288.288</v>
      </c>
      <c r="P99" s="15">
        <f t="shared" ref="P99" si="81">O99</f>
        <v>26288.288</v>
      </c>
      <c r="Q99" s="15">
        <f t="shared" ref="Q99" si="82">O99+(O99*4%)</f>
        <v>27339.819520000001</v>
      </c>
      <c r="R99" s="15">
        <f t="shared" ref="R99" si="83">Q99</f>
        <v>27339.819520000001</v>
      </c>
      <c r="S99" s="15">
        <f t="shared" ref="S99" si="84">Q99+(Q99*4%)</f>
        <v>28433.412300800002</v>
      </c>
      <c r="T99" s="15">
        <f t="shared" ref="T99" si="85">S99</f>
        <v>28433.412300800002</v>
      </c>
      <c r="U99" s="15">
        <f t="shared" ref="U99" si="86">S99+(S99*4%)</f>
        <v>29570.748792832004</v>
      </c>
      <c r="V99" s="15">
        <f t="shared" ref="V99" si="87">U99</f>
        <v>29570.748792832004</v>
      </c>
    </row>
    <row r="100" spans="1:22" s="23" customFormat="1">
      <c r="A100" s="61"/>
      <c r="B100" s="55" t="s">
        <v>4</v>
      </c>
      <c r="C100" s="22"/>
      <c r="D100" s="22"/>
      <c r="E100" s="22"/>
      <c r="F100" s="22"/>
      <c r="G100" s="22"/>
      <c r="H100" s="22"/>
      <c r="I100" s="32">
        <f t="shared" ref="I100:V100" si="88">I99/G99</f>
        <v>0.39748909492145901</v>
      </c>
      <c r="J100" s="32">
        <f t="shared" si="88"/>
        <v>0.39748909492145901</v>
      </c>
      <c r="K100" s="32">
        <f t="shared" si="88"/>
        <v>0.69156352254943809</v>
      </c>
      <c r="L100" s="32">
        <f t="shared" si="88"/>
        <v>0.69156352254943809</v>
      </c>
      <c r="M100" s="32">
        <f t="shared" si="88"/>
        <v>1.04</v>
      </c>
      <c r="N100" s="32">
        <f t="shared" si="88"/>
        <v>1.04</v>
      </c>
      <c r="O100" s="32">
        <f t="shared" si="88"/>
        <v>1.04</v>
      </c>
      <c r="P100" s="32">
        <f t="shared" si="88"/>
        <v>1.04</v>
      </c>
      <c r="Q100" s="32">
        <f t="shared" si="88"/>
        <v>1.04</v>
      </c>
      <c r="R100" s="32">
        <f t="shared" si="88"/>
        <v>1.04</v>
      </c>
      <c r="S100" s="32">
        <f t="shared" si="88"/>
        <v>1.04</v>
      </c>
      <c r="T100" s="32">
        <f t="shared" si="88"/>
        <v>1.04</v>
      </c>
      <c r="U100" s="32">
        <f t="shared" si="88"/>
        <v>1.04</v>
      </c>
      <c r="V100" s="32">
        <f t="shared" si="88"/>
        <v>1.04</v>
      </c>
    </row>
    <row r="101" spans="1:22" s="14" customFormat="1">
      <c r="A101" s="61"/>
      <c r="B101" s="54" t="s">
        <v>35</v>
      </c>
      <c r="C101" s="15"/>
      <c r="D101" s="15">
        <v>95471</v>
      </c>
      <c r="E101" s="15">
        <v>8207.6770300000007</v>
      </c>
      <c r="F101" s="15">
        <v>13289.744479999999</v>
      </c>
      <c r="G101" s="15">
        <v>9374.39</v>
      </c>
      <c r="H101" s="15">
        <f>G101</f>
        <v>9374.39</v>
      </c>
      <c r="I101" s="15">
        <v>10927</v>
      </c>
      <c r="J101" s="15">
        <f t="shared" ref="J101" si="89">I101</f>
        <v>10927</v>
      </c>
      <c r="K101" s="15">
        <v>10927</v>
      </c>
      <c r="L101" s="15">
        <f t="shared" ref="L101" si="90">K101</f>
        <v>10927</v>
      </c>
      <c r="M101" s="15">
        <f>K101+(K101*4%)</f>
        <v>11364.08</v>
      </c>
      <c r="N101" s="15">
        <f t="shared" ref="N101" si="91">M101</f>
        <v>11364.08</v>
      </c>
      <c r="O101" s="15">
        <f t="shared" ref="O101" si="92">M101+(M101*4%)</f>
        <v>11818.6432</v>
      </c>
      <c r="P101" s="15">
        <f t="shared" ref="P101" si="93">O101</f>
        <v>11818.6432</v>
      </c>
      <c r="Q101" s="15">
        <f t="shared" ref="Q101" si="94">O101+(O101*4%)</f>
        <v>12291.388928</v>
      </c>
      <c r="R101" s="15">
        <f t="shared" ref="R101" si="95">Q101</f>
        <v>12291.388928</v>
      </c>
      <c r="S101" s="15">
        <f t="shared" ref="S101" si="96">Q101+(Q101*4%)</f>
        <v>12783.044485120001</v>
      </c>
      <c r="T101" s="15">
        <f t="shared" ref="T101" si="97">S101</f>
        <v>12783.044485120001</v>
      </c>
      <c r="U101" s="15">
        <f t="shared" ref="U101" si="98">S101+(S101*4%)</f>
        <v>13294.3662645248</v>
      </c>
      <c r="V101" s="15">
        <f t="shared" ref="V101" si="99">U101</f>
        <v>13294.3662645248</v>
      </c>
    </row>
    <row r="102" spans="1:22" s="23" customFormat="1">
      <c r="A102" s="61"/>
      <c r="B102" s="55" t="s">
        <v>4</v>
      </c>
      <c r="C102" s="22"/>
      <c r="D102" s="22"/>
      <c r="E102" s="22"/>
      <c r="F102" s="22"/>
      <c r="G102" s="22"/>
      <c r="H102" s="22"/>
      <c r="I102" s="32">
        <f t="shared" ref="I102:V102" si="100">I101/G101</f>
        <v>1.1656225098379736</v>
      </c>
      <c r="J102" s="32">
        <f t="shared" si="100"/>
        <v>1.1656225098379736</v>
      </c>
      <c r="K102" s="32">
        <f t="shared" si="100"/>
        <v>1</v>
      </c>
      <c r="L102" s="32">
        <f t="shared" si="100"/>
        <v>1</v>
      </c>
      <c r="M102" s="32">
        <f t="shared" si="100"/>
        <v>1.04</v>
      </c>
      <c r="N102" s="32">
        <f t="shared" si="100"/>
        <v>1.04</v>
      </c>
      <c r="O102" s="32">
        <f t="shared" si="100"/>
        <v>1.04</v>
      </c>
      <c r="P102" s="32">
        <f t="shared" si="100"/>
        <v>1.04</v>
      </c>
      <c r="Q102" s="32">
        <f t="shared" si="100"/>
        <v>1.04</v>
      </c>
      <c r="R102" s="32">
        <f t="shared" si="100"/>
        <v>1.04</v>
      </c>
      <c r="S102" s="32">
        <f t="shared" si="100"/>
        <v>1.04</v>
      </c>
      <c r="T102" s="32">
        <f t="shared" si="100"/>
        <v>1.04</v>
      </c>
      <c r="U102" s="32">
        <f t="shared" si="100"/>
        <v>1.04</v>
      </c>
      <c r="V102" s="32">
        <f t="shared" si="100"/>
        <v>1.04</v>
      </c>
    </row>
    <row r="103" spans="1:22" s="14" customFormat="1">
      <c r="A103" s="61"/>
      <c r="B103" s="54" t="s">
        <v>36</v>
      </c>
      <c r="C103" s="15"/>
      <c r="D103" s="15">
        <v>0</v>
      </c>
      <c r="E103" s="15">
        <v>0</v>
      </c>
      <c r="F103" s="15">
        <v>0</v>
      </c>
      <c r="G103" s="15">
        <v>0</v>
      </c>
      <c r="H103" s="15">
        <f>G103</f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</row>
    <row r="104" spans="1:22" s="23" customFormat="1">
      <c r="A104" s="61"/>
      <c r="B104" s="55" t="s">
        <v>4</v>
      </c>
      <c r="C104" s="22"/>
      <c r="D104" s="22"/>
      <c r="E104" s="22"/>
      <c r="F104" s="22"/>
      <c r="G104" s="22"/>
      <c r="H104" s="2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s="14" customFormat="1">
      <c r="A105" s="61" t="s">
        <v>62</v>
      </c>
      <c r="B105" s="53" t="s">
        <v>37</v>
      </c>
      <c r="C105" s="42"/>
      <c r="D105" s="13">
        <v>1241428.68</v>
      </c>
      <c r="E105" s="13">
        <v>616254.30000000005</v>
      </c>
      <c r="F105" s="13">
        <v>901128.52642000001</v>
      </c>
      <c r="G105" s="43">
        <v>1212908.8700000001</v>
      </c>
      <c r="H105" s="43">
        <f>G105</f>
        <v>1212908.8700000001</v>
      </c>
      <c r="I105" s="13">
        <v>1135701</v>
      </c>
      <c r="J105" s="13">
        <f>I105</f>
        <v>1135701</v>
      </c>
      <c r="K105" s="13">
        <v>1152316.5</v>
      </c>
      <c r="L105" s="13">
        <f>K105</f>
        <v>1152316.5</v>
      </c>
      <c r="M105" s="13">
        <f>K105+(K105*4%)</f>
        <v>1198409.1599999999</v>
      </c>
      <c r="N105" s="13">
        <f>M105</f>
        <v>1198409.1599999999</v>
      </c>
      <c r="O105" s="13">
        <f>M105+(M105*4%)</f>
        <v>1246345.5263999999</v>
      </c>
      <c r="P105" s="13">
        <f>O105</f>
        <v>1246345.5263999999</v>
      </c>
      <c r="Q105" s="13">
        <f>O105+(O105*4%)</f>
        <v>1296199.3474559998</v>
      </c>
      <c r="R105" s="13">
        <f>Q105</f>
        <v>1296199.3474559998</v>
      </c>
      <c r="S105" s="13">
        <f>Q105+(Q105*4%)</f>
        <v>1348047.3213542397</v>
      </c>
      <c r="T105" s="13">
        <f>S105</f>
        <v>1348047.3213542397</v>
      </c>
      <c r="U105" s="13">
        <f>S105+(S105*4%)</f>
        <v>1401969.2142084092</v>
      </c>
      <c r="V105" s="13">
        <f>U105</f>
        <v>1401969.2142084092</v>
      </c>
    </row>
    <row r="106" spans="1:22" s="14" customFormat="1" ht="31.5">
      <c r="A106" s="61"/>
      <c r="B106" s="54" t="s">
        <v>38</v>
      </c>
      <c r="C106" s="15"/>
      <c r="D106" s="15">
        <v>605083.69999999995</v>
      </c>
      <c r="E106" s="15">
        <v>310397.3</v>
      </c>
      <c r="F106" s="15">
        <f>102284.3+2581.8+348042.6</f>
        <v>452908.69999999995</v>
      </c>
      <c r="G106" s="15">
        <f>E106*2</f>
        <v>620794.6</v>
      </c>
      <c r="H106" s="15">
        <f>G106</f>
        <v>620794.6</v>
      </c>
      <c r="I106" s="15">
        <v>676653.5</v>
      </c>
      <c r="J106" s="15">
        <f>I106</f>
        <v>676653.5</v>
      </c>
      <c r="K106" s="15">
        <v>714969.59999999998</v>
      </c>
      <c r="L106" s="15">
        <f>K106</f>
        <v>714969.59999999998</v>
      </c>
      <c r="M106" s="15">
        <f>K106+(K106*4%)</f>
        <v>743568.38399999996</v>
      </c>
      <c r="N106" s="15">
        <f>M106</f>
        <v>743568.38399999996</v>
      </c>
      <c r="O106" s="15">
        <f>M106+(M106*4%)</f>
        <v>773311.11936000001</v>
      </c>
      <c r="P106" s="15">
        <f>O106</f>
        <v>773311.11936000001</v>
      </c>
      <c r="Q106" s="15">
        <f>O106+(O106*4%)</f>
        <v>804243.56413439999</v>
      </c>
      <c r="R106" s="15">
        <f>Q106</f>
        <v>804243.56413439999</v>
      </c>
      <c r="S106" s="15">
        <f>Q106+(Q106*4%)</f>
        <v>836413.30669977597</v>
      </c>
      <c r="T106" s="15">
        <f>S106</f>
        <v>836413.30669977597</v>
      </c>
      <c r="U106" s="15">
        <f>S106+(S106*4%)</f>
        <v>869869.83896776696</v>
      </c>
      <c r="V106" s="15">
        <f>U106</f>
        <v>869869.83896776696</v>
      </c>
    </row>
    <row r="107" spans="1:22" s="23" customFormat="1">
      <c r="A107" s="61"/>
      <c r="B107" s="55" t="s">
        <v>4</v>
      </c>
      <c r="C107" s="22"/>
      <c r="D107" s="22"/>
      <c r="E107" s="22"/>
      <c r="F107" s="22"/>
      <c r="G107" s="22"/>
      <c r="H107" s="22"/>
      <c r="I107" s="32">
        <f t="shared" ref="I107:V107" si="101">I106/G106</f>
        <v>1.0899796808799562</v>
      </c>
      <c r="J107" s="32">
        <f t="shared" si="101"/>
        <v>1.0899796808799562</v>
      </c>
      <c r="K107" s="32">
        <f t="shared" si="101"/>
        <v>1.0566258801587518</v>
      </c>
      <c r="L107" s="32">
        <f t="shared" si="101"/>
        <v>1.0566258801587518</v>
      </c>
      <c r="M107" s="32">
        <f t="shared" si="101"/>
        <v>1.04</v>
      </c>
      <c r="N107" s="32">
        <f t="shared" si="101"/>
        <v>1.04</v>
      </c>
      <c r="O107" s="32">
        <f t="shared" si="101"/>
        <v>1.04</v>
      </c>
      <c r="P107" s="32">
        <f t="shared" si="101"/>
        <v>1.04</v>
      </c>
      <c r="Q107" s="32">
        <f t="shared" si="101"/>
        <v>1.04</v>
      </c>
      <c r="R107" s="32">
        <f t="shared" si="101"/>
        <v>1.04</v>
      </c>
      <c r="S107" s="32">
        <f t="shared" si="101"/>
        <v>1.04</v>
      </c>
      <c r="T107" s="32">
        <f t="shared" si="101"/>
        <v>1.04</v>
      </c>
      <c r="U107" s="32">
        <f t="shared" si="101"/>
        <v>1.04</v>
      </c>
      <c r="V107" s="32">
        <f t="shared" si="101"/>
        <v>1.04</v>
      </c>
    </row>
    <row r="108" spans="1:22" s="14" customFormat="1">
      <c r="A108" s="61"/>
      <c r="B108" s="54" t="s">
        <v>28</v>
      </c>
      <c r="C108" s="15"/>
      <c r="D108" s="15"/>
      <c r="E108" s="15"/>
      <c r="F108" s="58"/>
      <c r="G108" s="15"/>
      <c r="H108" s="15"/>
      <c r="I108" s="15"/>
      <c r="J108" s="15"/>
      <c r="K108" s="15"/>
      <c r="L108" s="15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1:22" s="14" customFormat="1" ht="47.25">
      <c r="A109" s="61"/>
      <c r="B109" s="54" t="s">
        <v>39</v>
      </c>
      <c r="C109" s="15"/>
      <c r="D109" s="15">
        <v>372214.2</v>
      </c>
      <c r="E109" s="15">
        <v>184953.9</v>
      </c>
      <c r="F109" s="15">
        <v>282879.27010000002</v>
      </c>
      <c r="G109" s="15">
        <f>E109*2</f>
        <v>369907.8</v>
      </c>
      <c r="H109" s="15">
        <f>G109</f>
        <v>369907.8</v>
      </c>
      <c r="I109" s="15">
        <v>406612</v>
      </c>
      <c r="J109" s="15">
        <f>I109</f>
        <v>406612</v>
      </c>
      <c r="K109" s="15">
        <v>423795.7</v>
      </c>
      <c r="L109" s="15">
        <f>K109</f>
        <v>423795.7</v>
      </c>
      <c r="M109" s="15">
        <f>K109+(K109*4%)</f>
        <v>440747.52799999999</v>
      </c>
      <c r="N109" s="15">
        <f>M109</f>
        <v>440747.52799999999</v>
      </c>
      <c r="O109" s="15">
        <f>M109+(M109*4%)</f>
        <v>458377.42911999999</v>
      </c>
      <c r="P109" s="15">
        <f t="shared" ref="P109:P112" si="102">O109</f>
        <v>458377.42911999999</v>
      </c>
      <c r="Q109" s="15">
        <f>O109+(O109*4%)</f>
        <v>476712.52628479997</v>
      </c>
      <c r="R109" s="15">
        <f t="shared" ref="R109:R112" si="103">Q109</f>
        <v>476712.52628479997</v>
      </c>
      <c r="S109" s="15">
        <f>Q109+(Q109*4%)</f>
        <v>495781.02733619197</v>
      </c>
      <c r="T109" s="15">
        <f t="shared" ref="T109:T112" si="104">S109</f>
        <v>495781.02733619197</v>
      </c>
      <c r="U109" s="15">
        <f>S109+(S109*4%)</f>
        <v>515612.26842963963</v>
      </c>
      <c r="V109" s="15">
        <f t="shared" ref="V109:V112" si="105">U109</f>
        <v>515612.26842963963</v>
      </c>
    </row>
    <row r="110" spans="1:22" s="14" customFormat="1" ht="47.25">
      <c r="A110" s="61"/>
      <c r="B110" s="56" t="s">
        <v>40</v>
      </c>
      <c r="C110" s="15"/>
      <c r="D110" s="15">
        <f>D106-D109</f>
        <v>232869.49999999994</v>
      </c>
      <c r="E110" s="15">
        <f>E106-E109</f>
        <v>125443.4</v>
      </c>
      <c r="F110" s="15">
        <f>F106-F109</f>
        <v>170029.42989999993</v>
      </c>
      <c r="G110" s="15">
        <f>E110*2</f>
        <v>250886.8</v>
      </c>
      <c r="H110" s="15">
        <f>G110</f>
        <v>250886.8</v>
      </c>
      <c r="I110" s="15">
        <f>I106-I109</f>
        <v>270041.5</v>
      </c>
      <c r="J110" s="15">
        <f>I110</f>
        <v>270041.5</v>
      </c>
      <c r="K110" s="15">
        <f>K106-K109</f>
        <v>291173.89999999997</v>
      </c>
      <c r="L110" s="15">
        <f>K110</f>
        <v>291173.89999999997</v>
      </c>
      <c r="M110" s="15">
        <f>M106-M109</f>
        <v>302820.85599999997</v>
      </c>
      <c r="N110" s="15">
        <f>M110</f>
        <v>302820.85599999997</v>
      </c>
      <c r="O110" s="15">
        <f>O106-O109</f>
        <v>314933.69024000003</v>
      </c>
      <c r="P110" s="15">
        <f t="shared" si="102"/>
        <v>314933.69024000003</v>
      </c>
      <c r="Q110" s="15">
        <f>Q106-Q109</f>
        <v>327531.03784960002</v>
      </c>
      <c r="R110" s="15">
        <f t="shared" si="103"/>
        <v>327531.03784960002</v>
      </c>
      <c r="S110" s="15">
        <f>S106-S109</f>
        <v>340632.27936358401</v>
      </c>
      <c r="T110" s="15">
        <f t="shared" si="104"/>
        <v>340632.27936358401</v>
      </c>
      <c r="U110" s="15">
        <f>U106-U109</f>
        <v>354257.57053812733</v>
      </c>
      <c r="V110" s="15">
        <f t="shared" si="105"/>
        <v>354257.57053812733</v>
      </c>
    </row>
    <row r="111" spans="1:22" s="14" customFormat="1" ht="31.5">
      <c r="A111" s="61"/>
      <c r="B111" s="54" t="s">
        <v>41</v>
      </c>
      <c r="C111" s="15"/>
      <c r="D111" s="15">
        <v>175688.9</v>
      </c>
      <c r="E111" s="15">
        <v>72770.899999999994</v>
      </c>
      <c r="F111" s="15">
        <v>72770.899999999994</v>
      </c>
      <c r="G111" s="15">
        <f>E111*2</f>
        <v>145541.79999999999</v>
      </c>
      <c r="H111" s="15">
        <f>G111</f>
        <v>145541.79999999999</v>
      </c>
      <c r="I111" s="15">
        <v>198608.7</v>
      </c>
      <c r="J111" s="15">
        <f>I111</f>
        <v>198608.7</v>
      </c>
      <c r="K111" s="15">
        <v>203667.9</v>
      </c>
      <c r="L111" s="15">
        <f>K111</f>
        <v>203667.9</v>
      </c>
      <c r="M111" s="15">
        <f>K111+(K111*4%)</f>
        <v>211814.61599999998</v>
      </c>
      <c r="N111" s="15">
        <f>M111</f>
        <v>211814.61599999998</v>
      </c>
      <c r="O111" s="15">
        <f>M111+(M111*4%)</f>
        <v>220287.20063999997</v>
      </c>
      <c r="P111" s="15">
        <f t="shared" si="102"/>
        <v>220287.20063999997</v>
      </c>
      <c r="Q111" s="15">
        <f>O111+(O111*4%)</f>
        <v>229098.68866559997</v>
      </c>
      <c r="R111" s="15">
        <f t="shared" si="103"/>
        <v>229098.68866559997</v>
      </c>
      <c r="S111" s="15">
        <f t="shared" ref="S111:S112" si="106">Q111+(Q111*4%)</f>
        <v>238262.63621222397</v>
      </c>
      <c r="T111" s="15">
        <f t="shared" si="104"/>
        <v>238262.63621222397</v>
      </c>
      <c r="U111" s="15">
        <f t="shared" ref="U111:U112" si="107">S111+(S111*4%)</f>
        <v>247793.14166071292</v>
      </c>
      <c r="V111" s="15">
        <f t="shared" si="105"/>
        <v>247793.14166071292</v>
      </c>
    </row>
    <row r="112" spans="1:22" s="14" customFormat="1">
      <c r="A112" s="61"/>
      <c r="B112" s="54" t="s">
        <v>42</v>
      </c>
      <c r="C112" s="16"/>
      <c r="D112" s="16">
        <v>17055.5</v>
      </c>
      <c r="E112" s="16">
        <v>5878.8</v>
      </c>
      <c r="F112" s="16">
        <v>7493.8</v>
      </c>
      <c r="G112" s="16">
        <f>E112*2</f>
        <v>11757.6</v>
      </c>
      <c r="H112" s="15">
        <f>G112</f>
        <v>11757.6</v>
      </c>
      <c r="I112" s="16">
        <v>10822.7</v>
      </c>
      <c r="J112" s="15">
        <f>I112</f>
        <v>10822.7</v>
      </c>
      <c r="K112" s="16">
        <v>10772.7</v>
      </c>
      <c r="L112" s="15">
        <f>K112</f>
        <v>10772.7</v>
      </c>
      <c r="M112" s="15">
        <f>K112+(K112*4%)</f>
        <v>11203.608</v>
      </c>
      <c r="N112" s="15">
        <f>M112</f>
        <v>11203.608</v>
      </c>
      <c r="O112" s="15">
        <f>M112+(M112*4%)</f>
        <v>11651.75232</v>
      </c>
      <c r="P112" s="15">
        <f t="shared" si="102"/>
        <v>11651.75232</v>
      </c>
      <c r="Q112" s="15">
        <f>O112+(O112*4%)</f>
        <v>12117.8224128</v>
      </c>
      <c r="R112" s="15">
        <f t="shared" si="103"/>
        <v>12117.8224128</v>
      </c>
      <c r="S112" s="15">
        <f t="shared" si="106"/>
        <v>12602.535309311999</v>
      </c>
      <c r="T112" s="15">
        <f t="shared" si="104"/>
        <v>12602.535309311999</v>
      </c>
      <c r="U112" s="16">
        <f t="shared" si="107"/>
        <v>13106.636721684479</v>
      </c>
      <c r="V112" s="15">
        <f t="shared" si="105"/>
        <v>13106.636721684479</v>
      </c>
    </row>
    <row r="113" spans="1:22" s="41" customFormat="1" ht="31.5" customHeight="1">
      <c r="A113" s="28" t="s">
        <v>63</v>
      </c>
      <c r="B113" s="57" t="s">
        <v>43</v>
      </c>
      <c r="C113" s="12"/>
      <c r="D113" s="12">
        <v>-21937.5</v>
      </c>
      <c r="E113" s="12">
        <v>47531.199000000001</v>
      </c>
      <c r="F113" s="12">
        <v>7735.9517599999999</v>
      </c>
      <c r="G113" s="13">
        <f>G87-G105</f>
        <v>-18621.40000000014</v>
      </c>
      <c r="H113" s="13">
        <f>G113</f>
        <v>-18621.40000000014</v>
      </c>
      <c r="I113" s="13">
        <f>I87-I105</f>
        <v>-19479</v>
      </c>
      <c r="J113" s="13">
        <f t="shared" ref="J113:V113" si="108">J87-J105</f>
        <v>-19479</v>
      </c>
      <c r="K113" s="13">
        <f t="shared" si="108"/>
        <v>-20693.5</v>
      </c>
      <c r="L113" s="13">
        <f t="shared" si="108"/>
        <v>-20693.5</v>
      </c>
      <c r="M113" s="13">
        <f t="shared" si="108"/>
        <v>-21521.239999999991</v>
      </c>
      <c r="N113" s="13">
        <f t="shared" si="108"/>
        <v>-21521.239999999991</v>
      </c>
      <c r="O113" s="13">
        <f t="shared" si="108"/>
        <v>-22382.089599999832</v>
      </c>
      <c r="P113" s="13">
        <f t="shared" si="108"/>
        <v>-22382.089599999832</v>
      </c>
      <c r="Q113" s="13">
        <f t="shared" si="108"/>
        <v>-23277.373183999676</v>
      </c>
      <c r="R113" s="13">
        <f t="shared" si="108"/>
        <v>-23277.373183999676</v>
      </c>
      <c r="S113" s="13">
        <f t="shared" si="108"/>
        <v>-24208.468111359747</v>
      </c>
      <c r="T113" s="13">
        <f t="shared" si="108"/>
        <v>-24208.468111359747</v>
      </c>
      <c r="U113" s="13">
        <f t="shared" si="108"/>
        <v>-25176.806835813913</v>
      </c>
      <c r="V113" s="13">
        <f t="shared" si="108"/>
        <v>-25176.806835813913</v>
      </c>
    </row>
    <row r="114" spans="1:22"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</sheetData>
  <mergeCells count="43">
    <mergeCell ref="G7:V7"/>
    <mergeCell ref="C15:V15"/>
    <mergeCell ref="C31:V31"/>
    <mergeCell ref="C58:V58"/>
    <mergeCell ref="C59:V59"/>
    <mergeCell ref="M8:N8"/>
    <mergeCell ref="O8:P8"/>
    <mergeCell ref="Q8:R8"/>
    <mergeCell ref="S8:T8"/>
    <mergeCell ref="U8:V8"/>
    <mergeCell ref="F7:F9"/>
    <mergeCell ref="A15:A30"/>
    <mergeCell ref="A31:A37"/>
    <mergeCell ref="A13:A14"/>
    <mergeCell ref="A105:A112"/>
    <mergeCell ref="A38:A43"/>
    <mergeCell ref="A44:A45"/>
    <mergeCell ref="A48:A49"/>
    <mergeCell ref="A46:A47"/>
    <mergeCell ref="A50:A51"/>
    <mergeCell ref="A52:A53"/>
    <mergeCell ref="A54:A55"/>
    <mergeCell ref="J1:V1"/>
    <mergeCell ref="A56:A57"/>
    <mergeCell ref="C72:V72"/>
    <mergeCell ref="C83:V83"/>
    <mergeCell ref="J2:L2"/>
    <mergeCell ref="A3:V5"/>
    <mergeCell ref="A10:A12"/>
    <mergeCell ref="G8:H8"/>
    <mergeCell ref="I8:J8"/>
    <mergeCell ref="K8:L8"/>
    <mergeCell ref="E7:E9"/>
    <mergeCell ref="A7:A9"/>
    <mergeCell ref="B7:B9"/>
    <mergeCell ref="C7:C9"/>
    <mergeCell ref="D7:D9"/>
    <mergeCell ref="C10:V10"/>
    <mergeCell ref="C86:V86"/>
    <mergeCell ref="A87:A104"/>
    <mergeCell ref="A59:A71"/>
    <mergeCell ref="A72:A82"/>
    <mergeCell ref="A83:A85"/>
  </mergeCells>
  <pageMargins left="0.7" right="0.7" top="0.75" bottom="0.75" header="0.3" footer="0.3"/>
  <pageSetup paperSize="9" scale="36" fitToHeight="0" orientation="landscape" r:id="rId1"/>
  <rowBreaks count="2" manualBreakCount="2">
    <brk id="43" max="28" man="1"/>
    <brk id="82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СЭР</vt:lpstr>
      <vt:lpstr>'прогноз СЭР'!Область_печати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economika</dc:creator>
  <cp:lastModifiedBy>BigunovaTV</cp:lastModifiedBy>
  <cp:lastPrinted>2023-10-30T08:21:31Z</cp:lastPrinted>
  <dcterms:created xsi:type="dcterms:W3CDTF">2018-11-13T21:49:39Z</dcterms:created>
  <dcterms:modified xsi:type="dcterms:W3CDTF">2023-10-30T08:22:23Z</dcterms:modified>
</cp:coreProperties>
</file>